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4715" windowHeight="14730" activeTab="2"/>
  </bookViews>
  <sheets>
    <sheet name="Terms of Use" sheetId="1" r:id="rId1"/>
    <sheet name="Glossary" sheetId="2" r:id="rId2"/>
    <sheet name="Approved Tariffs" sheetId="3" r:id="rId3"/>
    <sheet name="EDTC Calc" sheetId="4" r:id="rId4"/>
    <sheet name="TSP Calc" sheetId="5" r:id="rId5"/>
  </sheets>
  <definedNames>
    <definedName name="_xlnm.Print_Area" localSheetId="2">'Approved Tariffs'!$A$1:$T$40</definedName>
    <definedName name="_xlnm.Print_Area" localSheetId="3">'EDTC Calc'!$B$58:$P$89</definedName>
    <definedName name="_xlnm.Print_Area" localSheetId="1">'Glossary'!$B$2:$J$32</definedName>
    <definedName name="_xlnm.Print_Area" localSheetId="0">'Terms of Use'!$A$1:$N$35</definedName>
    <definedName name="_xlnm.Print_Area" localSheetId="4">'TSP Calc'!$B$95:$K$129</definedName>
    <definedName name="_xlnm.Print_Titles" localSheetId="3">'EDTC Calc'!$2:$2</definedName>
    <definedName name="_xlnm.Print_Titles" localSheetId="4">'TSP Calc'!$19:$20</definedName>
  </definedNames>
  <calcPr fullCalcOnLoad="1"/>
</workbook>
</file>

<file path=xl/comments3.xml><?xml version="1.0" encoding="utf-8"?>
<comments xmlns="http://schemas.openxmlformats.org/spreadsheetml/2006/main">
  <authors>
    <author>GasNet</author>
  </authors>
  <commentList>
    <comment ref="C40" authorId="0">
      <text>
        <r>
          <rPr>
            <sz val="8"/>
            <rFont val="Tahoma"/>
            <family val="2"/>
          </rPr>
          <t>Applies to:
Gas withdrawn east of Metro Zone, injected at Iona or SEAGas, OR
Gas withdrawn west of Metro Zone, injected at Longford, VicHub, Pakenham or Dandenong, OR
Gas withdrawn east or west of Metro Zone, injected at Culcairn.
Cross-system charges do NOT apply to gas withdrawn in Calder, nor to gas bought from the 'pool'.</t>
        </r>
      </text>
    </comment>
  </commentList>
</comments>
</file>

<file path=xl/comments4.xml><?xml version="1.0" encoding="utf-8"?>
<comments xmlns="http://schemas.openxmlformats.org/spreadsheetml/2006/main">
  <authors>
    <author>GasNet</author>
  </authors>
  <commentList>
    <comment ref="F22" authorId="0">
      <text>
        <r>
          <rPr>
            <sz val="10"/>
            <rFont val="Century Gothic"/>
            <family val="2"/>
          </rPr>
          <t>Input a preferred lower injection volume (in blue cell below), or leave blank to utilise the calculated 10-peak day volume</t>
        </r>
        <r>
          <rPr>
            <sz val="10"/>
            <rFont val="Tahoma"/>
            <family val="2"/>
          </rPr>
          <t>.</t>
        </r>
      </text>
    </comment>
    <comment ref="H21" authorId="0">
      <text>
        <r>
          <rPr>
            <sz val="10"/>
            <rFont val="Century Gothic"/>
            <family val="2"/>
          </rPr>
          <t>Input lower limit (&lt;=60%) of annual load factor range</t>
        </r>
        <r>
          <rPr>
            <sz val="10"/>
            <rFont val="Tahoma"/>
            <family val="2"/>
          </rPr>
          <t>.</t>
        </r>
      </text>
    </comment>
    <comment ref="H62" authorId="0">
      <text>
        <r>
          <rPr>
            <sz val="10"/>
            <rFont val="Tahoma"/>
            <family val="2"/>
          </rPr>
          <t>Input lower limit (&lt;=60%) of annual load factor range.</t>
        </r>
      </text>
    </comment>
    <comment ref="F63" authorId="0">
      <text>
        <r>
          <rPr>
            <sz val="10"/>
            <rFont val="Tahoma"/>
            <family val="2"/>
          </rPr>
          <t>Input a preferred lower injection volume (in blue cell below), or leave blank to utilise the calculated 10-peak day volume.</t>
        </r>
      </text>
    </comment>
  </commentList>
</comments>
</file>

<file path=xl/comments5.xml><?xml version="1.0" encoding="utf-8"?>
<comments xmlns="http://schemas.openxmlformats.org/spreadsheetml/2006/main">
  <authors>
    <author>GasNet</author>
    <author>Phillips, Nikki</author>
  </authors>
  <commentList>
    <comment ref="G27" authorId="0">
      <text>
        <r>
          <rPr>
            <sz val="10"/>
            <rFont val="Tahoma"/>
            <family val="2"/>
          </rPr>
          <t>Input a preferred lower injection volume (left), or leave blank to utilise the calculated 10-peak day volume.</t>
        </r>
      </text>
    </comment>
    <comment ref="E5" authorId="0">
      <text>
        <r>
          <rPr>
            <sz val="10"/>
            <rFont val="Tahoma"/>
            <family val="2"/>
          </rPr>
          <t>See 'Approved Tariffs' worksheet for list of TUoS zones &amp; numbers.</t>
        </r>
        <r>
          <rPr>
            <sz val="8"/>
            <rFont val="Tahoma"/>
            <family val="2"/>
          </rPr>
          <t xml:space="preserve">
</t>
        </r>
      </text>
    </comment>
    <comment ref="G64" authorId="0">
      <text>
        <r>
          <rPr>
            <sz val="10"/>
            <rFont val="Tahoma"/>
            <family val="2"/>
          </rPr>
          <t>Input a preferred lower injection volume (left), or leave blank to utilise the calculated 10-peak day volume.</t>
        </r>
      </text>
    </comment>
    <comment ref="G101" authorId="0">
      <text>
        <r>
          <rPr>
            <sz val="10"/>
            <rFont val="Tahoma"/>
            <family val="2"/>
          </rPr>
          <t>Input a preferred lower injection volume (left), or leave blank to utilise the calculated 10-peak day volume.</t>
        </r>
      </text>
    </comment>
    <comment ref="E8" authorId="1">
      <text>
        <r>
          <rPr>
            <b/>
            <sz val="9"/>
            <rFont val="Tahoma"/>
            <family val="2"/>
          </rPr>
          <t>Phillips, Nikki:</t>
        </r>
        <r>
          <rPr>
            <sz val="9"/>
            <rFont val="Tahoma"/>
            <family val="2"/>
          </rPr>
          <t xml:space="preserve">
Include Vic Hub and Tas Hub injections</t>
        </r>
      </text>
    </comment>
  </commentList>
</comments>
</file>

<file path=xl/sharedStrings.xml><?xml version="1.0" encoding="utf-8"?>
<sst xmlns="http://schemas.openxmlformats.org/spreadsheetml/2006/main" count="322" uniqueCount="110">
  <si>
    <t>Glossary of Terms</t>
  </si>
  <si>
    <t>Delivery Charges</t>
  </si>
  <si>
    <t>Matched Delivery Charges</t>
  </si>
  <si>
    <t>Injection Charges  (top-10 winter MDQ at source)</t>
  </si>
  <si>
    <t>Culcairn</t>
  </si>
  <si>
    <t>Pakenham</t>
  </si>
  <si>
    <t>Annual Volume</t>
  </si>
  <si>
    <t>Tariff-D</t>
  </si>
  <si>
    <t>Tariff-V</t>
  </si>
  <si>
    <t xml:space="preserve">Longford </t>
  </si>
  <si>
    <t>Pt Campbell</t>
  </si>
  <si>
    <t>Transmission</t>
  </si>
  <si>
    <t>$/GJ</t>
  </si>
  <si>
    <t>Supply Point Tariff :</t>
  </si>
  <si>
    <t>LaTrobe</t>
  </si>
  <si>
    <t>Lurgi</t>
  </si>
  <si>
    <t>Calder</t>
  </si>
  <si>
    <t>South Hume</t>
  </si>
  <si>
    <t>Echuca</t>
  </si>
  <si>
    <t>North Hume</t>
  </si>
  <si>
    <t>Western</t>
  </si>
  <si>
    <t>Murray Valley</t>
  </si>
  <si>
    <t>Interconnect</t>
  </si>
  <si>
    <t>South West</t>
  </si>
  <si>
    <t>Wodonga</t>
  </si>
  <si>
    <t>Tyers</t>
  </si>
  <si>
    <t>Warrnambool</t>
  </si>
  <si>
    <t>Koroit</t>
  </si>
  <si>
    <t>NSW Export</t>
  </si>
  <si>
    <t>n/a</t>
  </si>
  <si>
    <t>Effective Delivered Transmission Charges ($/GJ)</t>
  </si>
  <si>
    <t>Calculates the effective tariff to each zone from a given injection source (select below) for the same annual volume, over a range of annual load factors and hence,</t>
  </si>
  <si>
    <t>differing injection volumes.</t>
  </si>
  <si>
    <t xml:space="preserve"> - Select injection source</t>
  </si>
  <si>
    <t>Re MDQ input :</t>
  </si>
  <si>
    <t>( 1 )</t>
  </si>
  <si>
    <t xml:space="preserve">   Longford</t>
  </si>
  <si>
    <t>( 2 )</t>
  </si>
  <si>
    <t xml:space="preserve">   Port Campbell</t>
  </si>
  <si>
    <t>( 3 )</t>
  </si>
  <si>
    <t xml:space="preserve">   Culcairn</t>
  </si>
  <si>
    <t>( 4 )</t>
  </si>
  <si>
    <t xml:space="preserve">   Pakenham</t>
  </si>
  <si>
    <t>Annual Load Factor Sensitivity …</t>
  </si>
  <si>
    <t>Annual load</t>
  </si>
  <si>
    <t>TJ</t>
  </si>
  <si>
    <t>Annual load factor</t>
  </si>
  <si>
    <t>%</t>
  </si>
  <si>
    <t>Winter max daily quantity  (MDQ)</t>
  </si>
  <si>
    <t>Over-ride</t>
  </si>
  <si>
    <t>Ratio of average of 10 peak days to MDQ</t>
  </si>
  <si>
    <t>10-day peak injection volume</t>
  </si>
  <si>
    <t>Transmission Supply Point Charge:</t>
  </si>
  <si>
    <t>Effective charge  =  [ ( inj tariff ) * ( 10-day peak inj vol ) ]  +  [ ( withdrawal tariff ) * ( annual load ) ]</t>
  </si>
  <si>
    <t>$ / GJ</t>
  </si>
  <si>
    <t>'CS' = Cross-System tariff applies</t>
  </si>
  <si>
    <t>West Gippsland</t>
  </si>
  <si>
    <t>Metro South East</t>
  </si>
  <si>
    <t>Echuca Lateral</t>
  </si>
  <si>
    <t>Metro North West</t>
  </si>
  <si>
    <t>GJ</t>
  </si>
  <si>
    <t>Transmission Supply Point (TSP) Tariff Calculator</t>
  </si>
  <si>
    <t>Zone No.</t>
  </si>
  <si>
    <t>Zone Name</t>
  </si>
  <si>
    <t>Withdrawal TUoS Zone</t>
  </si>
  <si>
    <t>Tariff-D Customer</t>
  </si>
  <si>
    <t>Ratio of ave of 10 peak days to MDQ</t>
  </si>
  <si>
    <t>Injection points</t>
  </si>
  <si>
    <t>Longford</t>
  </si>
  <si>
    <t>LNG</t>
  </si>
  <si>
    <t>Total</t>
  </si>
  <si>
    <t xml:space="preserve">Percentage of annual withdrawal  </t>
  </si>
  <si>
    <t xml:space="preserve">Percentage of 10-peak day injection  </t>
  </si>
  <si>
    <t>Gas Volume</t>
  </si>
  <si>
    <t>Cross-System</t>
  </si>
  <si>
    <t>Applicable Tariffs</t>
  </si>
  <si>
    <t>Injection</t>
  </si>
  <si>
    <t>Charges</t>
  </si>
  <si>
    <t>$</t>
  </si>
  <si>
    <t xml:space="preserve">Total Annual Payment </t>
  </si>
  <si>
    <t>Effective Delivered Tariff</t>
  </si>
  <si>
    <t>Tariff-V Customer - Scenario 1:  Domestic Consumer</t>
  </si>
  <si>
    <t>Tariff-V Customer - Scenario 2:  Commercial Consumer</t>
  </si>
  <si>
    <t xml:space="preserve"> : Over-ride</t>
  </si>
  <si>
    <t>Injected at</t>
  </si>
  <si>
    <t>( 5 )</t>
  </si>
  <si>
    <t xml:space="preserve">   LNG (Dandenong)</t>
  </si>
  <si>
    <t>VicHub</t>
  </si>
  <si>
    <t>SEAGas</t>
  </si>
  <si>
    <t>Refill LNG</t>
  </si>
  <si>
    <t>Refill WUGS</t>
  </si>
  <si>
    <t>Iona</t>
  </si>
  <si>
    <t>Note 1</t>
  </si>
  <si>
    <t>(Input in blue cells only)</t>
  </si>
  <si>
    <t>Note 1: No refill occurs on Peak Injection days and refill does not attract the Cross-System tariff so the effective tariff is the withdrawal tariff only and the effective tariff does not change with load factor.</t>
  </si>
  <si>
    <t>VERSION:</t>
  </si>
  <si>
    <t>Date:</t>
  </si>
  <si>
    <t>Tariff Year:</t>
  </si>
  <si>
    <t>Geelong</t>
  </si>
  <si>
    <t>Maryvale</t>
  </si>
  <si>
    <t>OtwayGas</t>
  </si>
  <si>
    <t>Otway Gas</t>
  </si>
  <si>
    <t>Cross System  (incremental) :</t>
  </si>
  <si>
    <t>Tariffs are GST exclusive &amp; do not include AEMO charges.</t>
  </si>
  <si>
    <t>107/111</t>
  </si>
  <si>
    <t>VicHub/</t>
  </si>
  <si>
    <t>TasHub</t>
  </si>
  <si>
    <t>AMDQ Credit Certificate (Port Campbell, Culcairn &amp; Pakenham Injection Zones)</t>
  </si>
  <si>
    <t>(Injection Tariff, $/GJ, for the 10 Day Injection Volume)</t>
  </si>
  <si>
    <t>APA VTS TUoS Reference Tariffs:  Applicable from 1/1/2021 to 31/12/2021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</si>
</sst>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000"/>
    <numFmt numFmtId="167" formatCode="0.0"/>
    <numFmt numFmtId="168" formatCode="0.000"/>
    <numFmt numFmtId="169" formatCode="_(* #,##0_);_(* \(#,##0\);_(* &quot;-&quot;??_);_(@_)"/>
    <numFmt numFmtId="170" formatCode="#,##0.0"/>
    <numFmt numFmtId="171" formatCode="0.0000%"/>
    <numFmt numFmtId="172" formatCode="&quot;$&quot;#,##0.0000"/>
    <numFmt numFmtId="173" formatCode="&quot;$&quot;#,##0"/>
    <numFmt numFmtId="174" formatCode="#,##0.00000"/>
    <numFmt numFmtId="175" formatCode="#,##0.000000"/>
    <numFmt numFmtId="176" formatCode="_(* #,##0.0_);_(* \(#,##0.0\);_(* &quot;-&quot;??_);_(@_)"/>
    <numFmt numFmtId="177" formatCode="0.000%"/>
    <numFmt numFmtId="178" formatCode="#,##0.00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C09]dddd\,\ d\ mmmm\ yyyy"/>
    <numFmt numFmtId="185" formatCode="[$-409]h:mm:ss\ AM/PM"/>
  </numFmts>
  <fonts count="85">
    <font>
      <sz val="10"/>
      <name val="Arial"/>
      <family val="0"/>
    </font>
    <font>
      <sz val="8"/>
      <name val="Tahoma"/>
      <family val="2"/>
    </font>
    <font>
      <sz val="10"/>
      <color indexed="12"/>
      <name val="Arial"/>
      <family val="2"/>
    </font>
    <font>
      <sz val="10"/>
      <name val="Tahoma"/>
      <family val="2"/>
    </font>
    <font>
      <sz val="10"/>
      <name val="Century Gothic"/>
      <family val="2"/>
    </font>
    <font>
      <b/>
      <sz val="14"/>
      <color indexed="12"/>
      <name val="Century Gothic"/>
      <family val="2"/>
    </font>
    <font>
      <b/>
      <sz val="10"/>
      <name val="Century Gothic"/>
      <family val="2"/>
    </font>
    <font>
      <sz val="8"/>
      <name val="Century Gothic"/>
      <family val="2"/>
    </font>
    <font>
      <sz val="10"/>
      <color indexed="12"/>
      <name val="Century Gothic"/>
      <family val="2"/>
    </font>
    <font>
      <sz val="12"/>
      <name val="Century Gothic"/>
      <family val="2"/>
    </font>
    <font>
      <sz val="8"/>
      <color indexed="39"/>
      <name val="Century Gothic"/>
      <family val="2"/>
    </font>
    <font>
      <sz val="8"/>
      <color indexed="17"/>
      <name val="Century Gothic"/>
      <family val="2"/>
    </font>
    <font>
      <sz val="10"/>
      <color indexed="17"/>
      <name val="Century Gothic"/>
      <family val="2"/>
    </font>
    <font>
      <b/>
      <sz val="14"/>
      <name val="Century Gothic"/>
      <family val="2"/>
    </font>
    <font>
      <sz val="10"/>
      <color indexed="16"/>
      <name val="Century Gothic"/>
      <family val="2"/>
    </font>
    <font>
      <b/>
      <sz val="10"/>
      <color indexed="10"/>
      <name val="Century Gothic"/>
      <family val="2"/>
    </font>
    <font>
      <sz val="11"/>
      <name val="Century Gothic"/>
      <family val="2"/>
    </font>
    <font>
      <b/>
      <sz val="11"/>
      <color indexed="12"/>
      <name val="Century Gothic"/>
      <family val="2"/>
    </font>
    <font>
      <i/>
      <sz val="11"/>
      <name val="Century Gothic"/>
      <family val="2"/>
    </font>
    <font>
      <b/>
      <sz val="11"/>
      <name val="Century Gothic"/>
      <family val="2"/>
    </font>
    <font>
      <b/>
      <sz val="10"/>
      <color indexed="12"/>
      <name val="Century Gothic"/>
      <family val="2"/>
    </font>
    <font>
      <sz val="9"/>
      <color indexed="10"/>
      <name val="Century Gothic"/>
      <family val="2"/>
    </font>
    <font>
      <sz val="10"/>
      <color indexed="10"/>
      <name val="Century Gothic"/>
      <family val="2"/>
    </font>
    <font>
      <sz val="10"/>
      <color indexed="14"/>
      <name val="Century Gothic"/>
      <family val="2"/>
    </font>
    <font>
      <sz val="10"/>
      <color indexed="39"/>
      <name val="Century Gothic"/>
      <family val="2"/>
    </font>
    <font>
      <sz val="14"/>
      <name val="Century Gothic"/>
      <family val="2"/>
    </font>
    <font>
      <sz val="8"/>
      <color indexed="10"/>
      <name val="Century Gothic"/>
      <family val="2"/>
    </font>
    <font>
      <b/>
      <sz val="8"/>
      <color indexed="10"/>
      <name val="Century Gothic"/>
      <family val="2"/>
    </font>
    <font>
      <u val="single"/>
      <sz val="10"/>
      <name val="Century Gothic"/>
      <family val="2"/>
    </font>
    <font>
      <sz val="10.5"/>
      <name val="Century Gothic"/>
      <family val="2"/>
    </font>
    <font>
      <b/>
      <sz val="10.5"/>
      <color indexed="10"/>
      <name val="Century Gothic"/>
      <family val="2"/>
    </font>
    <font>
      <b/>
      <sz val="10.5"/>
      <name val="Century Gothic"/>
      <family val="2"/>
    </font>
    <font>
      <b/>
      <u val="single"/>
      <sz val="10"/>
      <name val="Century Gothic"/>
      <family val="2"/>
    </font>
    <font>
      <u val="single"/>
      <sz val="10.5"/>
      <name val="Century Gothic"/>
      <family val="2"/>
    </font>
    <font>
      <sz val="12"/>
      <name val="Arial Narrow"/>
      <family val="2"/>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Century Gothic"/>
      <family val="2"/>
    </font>
    <font>
      <sz val="10"/>
      <color indexed="8"/>
      <name val="Century Gothic"/>
      <family val="2"/>
    </font>
    <font>
      <sz val="10"/>
      <color indexed="9"/>
      <name val="Century Gothic"/>
      <family val="2"/>
    </font>
    <font>
      <strike/>
      <sz val="10"/>
      <color indexed="10"/>
      <name val="Century Gothic"/>
      <family val="2"/>
    </font>
    <font>
      <strike/>
      <sz val="10.5"/>
      <color indexed="10"/>
      <name val="Century Gothic"/>
      <family val="2"/>
    </font>
    <font>
      <b/>
      <sz val="10"/>
      <color indexed="8"/>
      <name val="Century Gothic"/>
      <family val="2"/>
    </font>
    <font>
      <sz val="11"/>
      <color indexed="8"/>
      <name val="Century Gothic"/>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1"/>
      <name val="Century Gothic"/>
      <family val="2"/>
    </font>
    <font>
      <sz val="10"/>
      <color theme="1"/>
      <name val="Century Gothic"/>
      <family val="2"/>
    </font>
    <font>
      <sz val="10"/>
      <color theme="0"/>
      <name val="Century Gothic"/>
      <family val="2"/>
    </font>
    <font>
      <sz val="10"/>
      <color rgb="FF0000FF"/>
      <name val="Century Gothic"/>
      <family val="2"/>
    </font>
    <font>
      <strike/>
      <sz val="10"/>
      <color rgb="FFFF0000"/>
      <name val="Century Gothic"/>
      <family val="2"/>
    </font>
    <font>
      <strike/>
      <sz val="10.5"/>
      <color rgb="FFFF0000"/>
      <name val="Century Gothic"/>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medium"/>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color indexed="63"/>
      </top>
      <bottom style="hair"/>
    </border>
    <border>
      <left style="medium"/>
      <right style="medium"/>
      <top>
        <color indexed="63"/>
      </top>
      <bottom>
        <color indexed="63"/>
      </bottom>
    </border>
    <border>
      <left style="medium"/>
      <right style="medium"/>
      <top>
        <color indexed="63"/>
      </top>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medium"/>
      <right style="medium"/>
      <top style="hair"/>
      <bottom style="mediu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36">
    <xf numFmtId="0" fontId="0" fillId="0" borderId="0" xfId="0" applyAlignment="1">
      <alignment/>
    </xf>
    <xf numFmtId="0" fontId="0" fillId="33" borderId="0" xfId="0" applyFill="1" applyAlignment="1">
      <alignment/>
    </xf>
    <xf numFmtId="0" fontId="78" fillId="33" borderId="0" xfId="0" applyFont="1" applyFill="1" applyAlignment="1">
      <alignment/>
    </xf>
    <xf numFmtId="0" fontId="4" fillId="33" borderId="0" xfId="0" applyFont="1" applyFill="1" applyAlignment="1">
      <alignment/>
    </xf>
    <xf numFmtId="2" fontId="4" fillId="33" borderId="0" xfId="0" applyNumberFormat="1" applyFont="1" applyFill="1" applyAlignment="1">
      <alignment/>
    </xf>
    <xf numFmtId="0" fontId="4" fillId="33" borderId="0" xfId="0" applyFont="1" applyFill="1" applyAlignment="1">
      <alignment horizontal="center"/>
    </xf>
    <xf numFmtId="14" fontId="4" fillId="33" borderId="0" xfId="0" applyNumberFormat="1" applyFont="1" applyFill="1" applyAlignment="1">
      <alignment/>
    </xf>
    <xf numFmtId="0" fontId="4" fillId="33" borderId="0" xfId="0" applyFont="1" applyFill="1" applyAlignment="1">
      <alignment horizontal="right"/>
    </xf>
    <xf numFmtId="166" fontId="4" fillId="33" borderId="0" xfId="0" applyNumberFormat="1" applyFont="1" applyFill="1" applyBorder="1" applyAlignment="1">
      <alignment/>
    </xf>
    <xf numFmtId="166" fontId="4" fillId="33" borderId="0" xfId="0" applyNumberFormat="1" applyFont="1" applyFill="1" applyBorder="1" applyAlignment="1">
      <alignment vertical="center"/>
    </xf>
    <xf numFmtId="0" fontId="9" fillId="33" borderId="0" xfId="0" applyFont="1" applyFill="1" applyAlignment="1">
      <alignment/>
    </xf>
    <xf numFmtId="0" fontId="17" fillId="34" borderId="10" xfId="0" applyFont="1" applyFill="1" applyBorder="1" applyAlignment="1" applyProtection="1">
      <alignment horizontal="center"/>
      <protection locked="0"/>
    </xf>
    <xf numFmtId="3" fontId="20" fillId="34" borderId="10" xfId="0" applyNumberFormat="1" applyFont="1" applyFill="1" applyBorder="1" applyAlignment="1" applyProtection="1">
      <alignment horizontal="center"/>
      <protection locked="0"/>
    </xf>
    <xf numFmtId="165" fontId="14" fillId="0" borderId="10" xfId="59" applyNumberFormat="1" applyFont="1" applyFill="1" applyBorder="1" applyAlignment="1">
      <alignment horizontal="center"/>
    </xf>
    <xf numFmtId="9" fontId="20" fillId="34" borderId="11" xfId="59" applyFont="1" applyFill="1" applyBorder="1" applyAlignment="1" applyProtection="1">
      <alignment horizontal="right"/>
      <protection locked="0"/>
    </xf>
    <xf numFmtId="9" fontId="4" fillId="0" borderId="12" xfId="59" applyFont="1" applyFill="1" applyBorder="1" applyAlignment="1">
      <alignment horizontal="right"/>
    </xf>
    <xf numFmtId="9" fontId="4" fillId="0" borderId="13" xfId="59" applyFont="1" applyFill="1" applyBorder="1" applyAlignment="1">
      <alignment horizontal="right"/>
    </xf>
    <xf numFmtId="170" fontId="20" fillId="34" borderId="10" xfId="0" applyNumberFormat="1" applyFont="1" applyFill="1" applyBorder="1" applyAlignment="1" applyProtection="1">
      <alignment horizontal="center"/>
      <protection locked="0"/>
    </xf>
    <xf numFmtId="170" fontId="14" fillId="0" borderId="14" xfId="0" applyNumberFormat="1" applyFont="1" applyFill="1" applyBorder="1" applyAlignment="1">
      <alignment horizontal="right"/>
    </xf>
    <xf numFmtId="170" fontId="14" fillId="0" borderId="10" xfId="0" applyNumberFormat="1" applyFont="1" applyFill="1" applyBorder="1" applyAlignment="1">
      <alignment horizontal="right"/>
    </xf>
    <xf numFmtId="170" fontId="14" fillId="0" borderId="15" xfId="0" applyNumberFormat="1" applyFont="1" applyFill="1" applyBorder="1" applyAlignment="1">
      <alignment horizontal="right"/>
    </xf>
    <xf numFmtId="9" fontId="20" fillId="34" borderId="10" xfId="59" applyFont="1" applyFill="1" applyBorder="1" applyAlignment="1" applyProtection="1">
      <alignment horizontal="center"/>
      <protection locked="0"/>
    </xf>
    <xf numFmtId="9" fontId="4" fillId="0" borderId="10" xfId="0" applyNumberFormat="1" applyFont="1" applyFill="1" applyBorder="1" applyAlignment="1">
      <alignment horizontal="center"/>
    </xf>
    <xf numFmtId="9" fontId="4" fillId="0" borderId="14" xfId="59" applyFont="1" applyFill="1" applyBorder="1" applyAlignment="1">
      <alignment horizontal="right"/>
    </xf>
    <xf numFmtId="9" fontId="4" fillId="0" borderId="10" xfId="59" applyFont="1" applyFill="1" applyBorder="1" applyAlignment="1">
      <alignment horizontal="right"/>
    </xf>
    <xf numFmtId="9" fontId="4" fillId="0" borderId="15" xfId="59" applyFont="1" applyFill="1" applyBorder="1" applyAlignment="1">
      <alignment horizontal="right"/>
    </xf>
    <xf numFmtId="170" fontId="14" fillId="0" borderId="10" xfId="0" applyNumberFormat="1" applyFont="1" applyFill="1" applyBorder="1" applyAlignment="1">
      <alignment horizontal="center"/>
    </xf>
    <xf numFmtId="170" fontId="14" fillId="0" borderId="16" xfId="0" applyNumberFormat="1" applyFont="1" applyFill="1" applyBorder="1" applyAlignment="1">
      <alignment horizontal="right"/>
    </xf>
    <xf numFmtId="170" fontId="14" fillId="0" borderId="17" xfId="0" applyNumberFormat="1" applyFont="1" applyFill="1" applyBorder="1" applyAlignment="1">
      <alignment horizontal="right"/>
    </xf>
    <xf numFmtId="170" fontId="14" fillId="0" borderId="18" xfId="0" applyNumberFormat="1" applyFont="1" applyFill="1" applyBorder="1" applyAlignment="1">
      <alignment horizontal="right"/>
    </xf>
    <xf numFmtId="166" fontId="4" fillId="35" borderId="19" xfId="0" applyNumberFormat="1" applyFont="1" applyFill="1" applyBorder="1" applyAlignment="1">
      <alignment/>
    </xf>
    <xf numFmtId="166" fontId="4" fillId="35" borderId="20" xfId="0" applyNumberFormat="1" applyFont="1" applyFill="1" applyBorder="1" applyAlignment="1">
      <alignment/>
    </xf>
    <xf numFmtId="166" fontId="4" fillId="35" borderId="21" xfId="0" applyNumberFormat="1" applyFont="1" applyFill="1" applyBorder="1" applyAlignment="1">
      <alignment/>
    </xf>
    <xf numFmtId="166" fontId="4" fillId="35" borderId="22" xfId="0" applyNumberFormat="1" applyFont="1" applyFill="1" applyBorder="1" applyAlignment="1">
      <alignment/>
    </xf>
    <xf numFmtId="166" fontId="4" fillId="35" borderId="23" xfId="0" applyNumberFormat="1" applyFont="1" applyFill="1" applyBorder="1" applyAlignment="1">
      <alignment/>
    </xf>
    <xf numFmtId="166" fontId="4" fillId="35" borderId="24" xfId="0" applyNumberFormat="1" applyFont="1" applyFill="1" applyBorder="1" applyAlignment="1">
      <alignment/>
    </xf>
    <xf numFmtId="166" fontId="4" fillId="35" borderId="25" xfId="0" applyNumberFormat="1" applyFont="1" applyFill="1" applyBorder="1" applyAlignment="1">
      <alignment/>
    </xf>
    <xf numFmtId="166" fontId="4" fillId="35" borderId="26" xfId="0" applyNumberFormat="1" applyFont="1" applyFill="1" applyBorder="1" applyAlignment="1">
      <alignment/>
    </xf>
    <xf numFmtId="166" fontId="4" fillId="35" borderId="27" xfId="0" applyNumberFormat="1" applyFont="1" applyFill="1" applyBorder="1" applyAlignment="1">
      <alignment/>
    </xf>
    <xf numFmtId="166" fontId="4" fillId="35" borderId="28" xfId="0" applyNumberFormat="1" applyFont="1" applyFill="1" applyBorder="1" applyAlignment="1">
      <alignment/>
    </xf>
    <xf numFmtId="166" fontId="4" fillId="35" borderId="29" xfId="0" applyNumberFormat="1" applyFont="1" applyFill="1" applyBorder="1" applyAlignment="1">
      <alignment/>
    </xf>
    <xf numFmtId="166" fontId="4" fillId="35" borderId="30" xfId="0" applyNumberFormat="1" applyFont="1" applyFill="1" applyBorder="1" applyAlignment="1">
      <alignment/>
    </xf>
    <xf numFmtId="166" fontId="4" fillId="35" borderId="31" xfId="0" applyNumberFormat="1" applyFont="1" applyFill="1" applyBorder="1" applyAlignment="1">
      <alignment/>
    </xf>
    <xf numFmtId="166" fontId="4" fillId="35" borderId="32" xfId="0" applyNumberFormat="1" applyFont="1" applyFill="1" applyBorder="1" applyAlignment="1">
      <alignment/>
    </xf>
    <xf numFmtId="170" fontId="14" fillId="0" borderId="33" xfId="0" applyNumberFormat="1" applyFont="1" applyFill="1" applyBorder="1" applyAlignment="1">
      <alignment horizontal="center"/>
    </xf>
    <xf numFmtId="0" fontId="20" fillId="34" borderId="10" xfId="0" applyFont="1" applyFill="1" applyBorder="1" applyAlignment="1" applyProtection="1">
      <alignment horizontal="center"/>
      <protection locked="0"/>
    </xf>
    <xf numFmtId="0" fontId="4" fillId="36" borderId="34" xfId="0" applyFont="1" applyFill="1" applyBorder="1" applyAlignment="1">
      <alignment horizontal="center"/>
    </xf>
    <xf numFmtId="0" fontId="7" fillId="36" borderId="33" xfId="0" applyFont="1" applyFill="1" applyBorder="1" applyAlignment="1">
      <alignment horizontal="center"/>
    </xf>
    <xf numFmtId="165" fontId="20" fillId="34" borderId="35" xfId="59" applyNumberFormat="1" applyFont="1" applyFill="1" applyBorder="1" applyAlignment="1" applyProtection="1">
      <alignment horizontal="center"/>
      <protection locked="0"/>
    </xf>
    <xf numFmtId="165" fontId="20" fillId="34" borderId="34" xfId="59" applyNumberFormat="1" applyFont="1" applyFill="1" applyBorder="1" applyAlignment="1" applyProtection="1">
      <alignment horizontal="center"/>
      <protection locked="0"/>
    </xf>
    <xf numFmtId="165" fontId="20" fillId="34" borderId="36" xfId="59" applyNumberFormat="1" applyFont="1" applyFill="1" applyBorder="1" applyAlignment="1" applyProtection="1">
      <alignment horizontal="center"/>
      <protection locked="0"/>
    </xf>
    <xf numFmtId="165" fontId="20" fillId="34" borderId="37" xfId="59" applyNumberFormat="1" applyFont="1" applyFill="1" applyBorder="1" applyAlignment="1" applyProtection="1">
      <alignment horizontal="center"/>
      <protection locked="0"/>
    </xf>
    <xf numFmtId="165" fontId="20" fillId="34" borderId="33" xfId="59" applyNumberFormat="1" applyFont="1" applyFill="1" applyBorder="1" applyAlignment="1" applyProtection="1">
      <alignment horizontal="center"/>
      <protection locked="0"/>
    </xf>
    <xf numFmtId="165" fontId="20" fillId="34" borderId="38" xfId="59" applyNumberFormat="1" applyFont="1" applyFill="1" applyBorder="1" applyAlignment="1" applyProtection="1">
      <alignment horizontal="center"/>
      <protection locked="0"/>
    </xf>
    <xf numFmtId="170" fontId="20" fillId="34" borderId="10" xfId="42" applyNumberFormat="1" applyFont="1" applyFill="1" applyBorder="1" applyAlignment="1" applyProtection="1">
      <alignment horizontal="center"/>
      <protection locked="0"/>
    </xf>
    <xf numFmtId="9" fontId="20" fillId="34" borderId="10" xfId="59" applyNumberFormat="1" applyFont="1" applyFill="1" applyBorder="1" applyAlignment="1" applyProtection="1">
      <alignment horizontal="center"/>
      <protection locked="0"/>
    </xf>
    <xf numFmtId="3" fontId="4" fillId="37" borderId="10" xfId="0" applyNumberFormat="1" applyFont="1" applyFill="1" applyBorder="1" applyAlignment="1">
      <alignment horizontal="center"/>
    </xf>
    <xf numFmtId="0" fontId="4" fillId="36" borderId="33" xfId="0" applyFont="1" applyFill="1" applyBorder="1" applyAlignment="1">
      <alignment horizontal="center"/>
    </xf>
    <xf numFmtId="165" fontId="4" fillId="0" borderId="10" xfId="59" applyNumberFormat="1" applyFont="1" applyFill="1" applyBorder="1" applyAlignment="1">
      <alignment horizontal="center"/>
    </xf>
    <xf numFmtId="3" fontId="4" fillId="35" borderId="10" xfId="0" applyNumberFormat="1" applyFont="1" applyFill="1" applyBorder="1" applyAlignment="1">
      <alignment/>
    </xf>
    <xf numFmtId="3" fontId="6" fillId="35" borderId="10" xfId="0" applyNumberFormat="1" applyFont="1" applyFill="1" applyBorder="1" applyAlignment="1">
      <alignment/>
    </xf>
    <xf numFmtId="166" fontId="4" fillId="35" borderId="10" xfId="0" applyNumberFormat="1" applyFont="1" applyFill="1" applyBorder="1" applyAlignment="1">
      <alignment/>
    </xf>
    <xf numFmtId="166" fontId="4" fillId="35" borderId="10" xfId="0" applyNumberFormat="1" applyFont="1" applyFill="1" applyBorder="1" applyAlignment="1">
      <alignment horizontal="right"/>
    </xf>
    <xf numFmtId="169" fontId="4" fillId="35" borderId="10" xfId="44" applyNumberFormat="1" applyFont="1" applyFill="1" applyBorder="1" applyAlignment="1">
      <alignment/>
    </xf>
    <xf numFmtId="169" fontId="4" fillId="35" borderId="10" xfId="44" applyNumberFormat="1" applyFont="1" applyFill="1" applyBorder="1" applyAlignment="1">
      <alignment horizontal="right"/>
    </xf>
    <xf numFmtId="173" fontId="6" fillId="35" borderId="10" xfId="44" applyNumberFormat="1" applyFont="1" applyFill="1" applyBorder="1" applyAlignment="1">
      <alignment/>
    </xf>
    <xf numFmtId="4" fontId="4" fillId="37" borderId="10" xfId="0" applyNumberFormat="1" applyFont="1" applyFill="1" applyBorder="1" applyAlignment="1">
      <alignment horizontal="center"/>
    </xf>
    <xf numFmtId="170" fontId="4" fillId="37" borderId="10" xfId="0" applyNumberFormat="1" applyFont="1" applyFill="1" applyBorder="1" applyAlignment="1">
      <alignment horizontal="center"/>
    </xf>
    <xf numFmtId="170" fontId="4" fillId="35" borderId="10" xfId="0" applyNumberFormat="1" applyFont="1" applyFill="1" applyBorder="1" applyAlignment="1">
      <alignment/>
    </xf>
    <xf numFmtId="170" fontId="6" fillId="35" borderId="10" xfId="0" applyNumberFormat="1" applyFont="1" applyFill="1" applyBorder="1" applyAlignment="1">
      <alignment/>
    </xf>
    <xf numFmtId="164" fontId="4" fillId="35" borderId="10" xfId="44" applyNumberFormat="1" applyFont="1" applyFill="1" applyBorder="1" applyAlignment="1">
      <alignment/>
    </xf>
    <xf numFmtId="164" fontId="4" fillId="35" borderId="10" xfId="44" applyNumberFormat="1" applyFont="1" applyFill="1" applyBorder="1" applyAlignment="1">
      <alignment horizontal="right"/>
    </xf>
    <xf numFmtId="164" fontId="6" fillId="35" borderId="10" xfId="44" applyNumberFormat="1" applyFont="1" applyFill="1" applyBorder="1" applyAlignment="1">
      <alignment/>
    </xf>
    <xf numFmtId="0" fontId="13" fillId="13" borderId="0" xfId="0" applyFont="1" applyFill="1" applyAlignment="1" quotePrefix="1">
      <alignment horizontal="left"/>
    </xf>
    <xf numFmtId="0" fontId="6" fillId="13" borderId="0" xfId="0" applyFont="1" applyFill="1" applyAlignment="1">
      <alignment/>
    </xf>
    <xf numFmtId="0" fontId="4" fillId="13" borderId="0" xfId="0" applyFont="1" applyFill="1" applyAlignment="1">
      <alignment/>
    </xf>
    <xf numFmtId="0" fontId="14" fillId="13" borderId="0" xfId="0" applyFont="1" applyFill="1" applyAlignment="1">
      <alignment/>
    </xf>
    <xf numFmtId="0" fontId="15" fillId="33" borderId="0" xfId="0" applyFont="1" applyFill="1" applyBorder="1" applyAlignment="1" quotePrefix="1">
      <alignment horizontal="left"/>
    </xf>
    <xf numFmtId="0" fontId="6" fillId="33" borderId="0" xfId="0" applyFont="1" applyFill="1" applyAlignment="1">
      <alignment/>
    </xf>
    <xf numFmtId="0" fontId="14" fillId="33" borderId="0" xfId="0" applyFont="1" applyFill="1" applyAlignment="1">
      <alignment/>
    </xf>
    <xf numFmtId="0" fontId="4" fillId="33" borderId="0" xfId="0" applyFont="1" applyFill="1" applyAlignment="1" quotePrefix="1">
      <alignment horizontal="right"/>
    </xf>
    <xf numFmtId="0" fontId="16" fillId="33" borderId="0" xfId="0" applyFont="1" applyFill="1" applyAlignment="1">
      <alignment horizontal="left"/>
    </xf>
    <xf numFmtId="0" fontId="15" fillId="33" borderId="0" xfId="0" applyFont="1" applyFill="1" applyAlignment="1" quotePrefix="1">
      <alignment horizontal="left"/>
    </xf>
    <xf numFmtId="0" fontId="16" fillId="33" borderId="0" xfId="0" applyFont="1" applyFill="1" applyAlignment="1">
      <alignment/>
    </xf>
    <xf numFmtId="0" fontId="19" fillId="33" borderId="0" xfId="0" applyFont="1" applyFill="1" applyAlignment="1" quotePrefix="1">
      <alignment horizontal="center"/>
    </xf>
    <xf numFmtId="0" fontId="6" fillId="33" borderId="0" xfId="0" applyFont="1" applyFill="1" applyAlignment="1" quotePrefix="1">
      <alignment horizontal="left"/>
    </xf>
    <xf numFmtId="0" fontId="18" fillId="33" borderId="0" xfId="0" applyFont="1" applyFill="1" applyAlignment="1">
      <alignment/>
    </xf>
    <xf numFmtId="166" fontId="4" fillId="33" borderId="0" xfId="0" applyNumberFormat="1" applyFont="1" applyFill="1" applyAlignment="1">
      <alignment/>
    </xf>
    <xf numFmtId="0" fontId="4" fillId="33" borderId="0" xfId="0" applyFont="1" applyFill="1" applyAlignment="1">
      <alignment horizontal="left"/>
    </xf>
    <xf numFmtId="0" fontId="4" fillId="33" borderId="39" xfId="0" applyFont="1" applyFill="1" applyBorder="1" applyAlignment="1">
      <alignment/>
    </xf>
    <xf numFmtId="0" fontId="15" fillId="33" borderId="0" xfId="0" applyFont="1" applyFill="1" applyAlignment="1">
      <alignment/>
    </xf>
    <xf numFmtId="0" fontId="6" fillId="33" borderId="0" xfId="0" applyFont="1" applyFill="1" applyAlignment="1">
      <alignment horizontal="left"/>
    </xf>
    <xf numFmtId="167" fontId="21" fillId="33" borderId="0" xfId="0" applyNumberFormat="1" applyFont="1" applyFill="1" applyBorder="1" applyAlignment="1">
      <alignment/>
    </xf>
    <xf numFmtId="167" fontId="4" fillId="33" borderId="0" xfId="0" applyNumberFormat="1" applyFont="1" applyFill="1" applyBorder="1" applyAlignment="1">
      <alignment/>
    </xf>
    <xf numFmtId="2" fontId="14" fillId="33" borderId="0" xfId="0" applyNumberFormat="1" applyFont="1" applyFill="1" applyAlignment="1">
      <alignment/>
    </xf>
    <xf numFmtId="0" fontId="22" fillId="33" borderId="0" xfId="0" applyFont="1" applyFill="1" applyAlignment="1">
      <alignment horizontal="right"/>
    </xf>
    <xf numFmtId="166" fontId="4" fillId="33" borderId="0" xfId="0" applyNumberFormat="1" applyFont="1" applyFill="1" applyAlignment="1" quotePrefix="1">
      <alignment/>
    </xf>
    <xf numFmtId="0" fontId="22" fillId="33" borderId="0" xfId="0" applyFont="1" applyFill="1" applyAlignment="1">
      <alignment horizontal="center"/>
    </xf>
    <xf numFmtId="0" fontId="4" fillId="33" borderId="0" xfId="0" applyFont="1" applyFill="1" applyBorder="1" applyAlignment="1">
      <alignment/>
    </xf>
    <xf numFmtId="0" fontId="4" fillId="33" borderId="39" xfId="0" applyFont="1" applyFill="1" applyBorder="1" applyAlignment="1" quotePrefix="1">
      <alignment horizontal="left"/>
    </xf>
    <xf numFmtId="0" fontId="6" fillId="33" borderId="39" xfId="0" applyFont="1" applyFill="1" applyBorder="1" applyAlignment="1">
      <alignment/>
    </xf>
    <xf numFmtId="166" fontId="7" fillId="33" borderId="0" xfId="0" applyNumberFormat="1" applyFont="1" applyFill="1" applyAlignment="1">
      <alignment/>
    </xf>
    <xf numFmtId="0" fontId="14" fillId="33" borderId="39" xfId="0" applyFont="1" applyFill="1" applyBorder="1" applyAlignment="1">
      <alignment/>
    </xf>
    <xf numFmtId="0" fontId="23" fillId="33" borderId="39" xfId="0" applyFont="1" applyFill="1" applyBorder="1" applyAlignment="1">
      <alignment/>
    </xf>
    <xf numFmtId="0" fontId="22" fillId="33" borderId="39" xfId="0" applyFont="1" applyFill="1" applyBorder="1" applyAlignment="1">
      <alignment/>
    </xf>
    <xf numFmtId="0" fontId="12" fillId="33" borderId="39" xfId="0" applyFont="1" applyFill="1" applyBorder="1" applyAlignment="1">
      <alignment/>
    </xf>
    <xf numFmtId="0" fontId="24" fillId="33" borderId="39" xfId="0" applyFont="1" applyFill="1" applyBorder="1" applyAlignment="1">
      <alignment/>
    </xf>
    <xf numFmtId="168" fontId="14" fillId="33" borderId="0" xfId="0" applyNumberFormat="1" applyFont="1" applyFill="1" applyBorder="1" applyAlignment="1">
      <alignment/>
    </xf>
    <xf numFmtId="168" fontId="4" fillId="33" borderId="0" xfId="0" applyNumberFormat="1" applyFont="1" applyFill="1" applyBorder="1" applyAlignment="1">
      <alignment/>
    </xf>
    <xf numFmtId="168" fontId="4" fillId="33" borderId="0" xfId="0" applyNumberFormat="1" applyFont="1" applyFill="1" applyAlignment="1">
      <alignment horizontal="center"/>
    </xf>
    <xf numFmtId="0" fontId="25" fillId="33" borderId="0" xfId="0" applyFont="1" applyFill="1" applyAlignment="1">
      <alignment/>
    </xf>
    <xf numFmtId="1" fontId="4" fillId="33" borderId="0" xfId="0" applyNumberFormat="1" applyFont="1" applyFill="1" applyBorder="1" applyAlignment="1">
      <alignment/>
    </xf>
    <xf numFmtId="0" fontId="13" fillId="13" borderId="0" xfId="0" applyFont="1" applyFill="1" applyAlignment="1">
      <alignment horizontal="left"/>
    </xf>
    <xf numFmtId="0" fontId="13" fillId="13" borderId="0" xfId="0" applyFont="1" applyFill="1" applyAlignment="1">
      <alignment/>
    </xf>
    <xf numFmtId="0" fontId="25" fillId="13" borderId="0" xfId="0" applyFont="1" applyFill="1" applyAlignment="1">
      <alignment/>
    </xf>
    <xf numFmtId="0" fontId="4" fillId="33" borderId="0" xfId="0" applyFont="1" applyFill="1" applyBorder="1" applyAlignment="1">
      <alignment horizontal="center"/>
    </xf>
    <xf numFmtId="165" fontId="4" fillId="33" borderId="0" xfId="0" applyNumberFormat="1" applyFont="1" applyFill="1" applyAlignment="1">
      <alignment/>
    </xf>
    <xf numFmtId="0" fontId="15" fillId="33" borderId="0" xfId="0" applyFont="1" applyFill="1" applyAlignment="1">
      <alignment horizontal="right"/>
    </xf>
    <xf numFmtId="165" fontId="26" fillId="33" borderId="0" xfId="0" applyNumberFormat="1" applyFont="1" applyFill="1" applyAlignment="1">
      <alignment horizontal="left"/>
    </xf>
    <xf numFmtId="0" fontId="27" fillId="33" borderId="0" xfId="0" applyFont="1" applyFill="1" applyAlignment="1">
      <alignment horizontal="right"/>
    </xf>
    <xf numFmtId="0" fontId="13" fillId="33" borderId="0" xfId="0" applyFont="1" applyFill="1" applyBorder="1" applyAlignment="1">
      <alignment horizontal="center"/>
    </xf>
    <xf numFmtId="170" fontId="4" fillId="33" borderId="0" xfId="0" applyNumberFormat="1" applyFont="1" applyFill="1" applyAlignment="1">
      <alignment/>
    </xf>
    <xf numFmtId="164" fontId="4" fillId="33" borderId="0" xfId="0" applyNumberFormat="1" applyFont="1" applyFill="1" applyAlignment="1">
      <alignment/>
    </xf>
    <xf numFmtId="0" fontId="28" fillId="33" borderId="0" xfId="0" applyFont="1" applyFill="1" applyAlignment="1">
      <alignment/>
    </xf>
    <xf numFmtId="167" fontId="4" fillId="33" borderId="0" xfId="0" applyNumberFormat="1" applyFont="1" applyFill="1" applyAlignment="1">
      <alignment/>
    </xf>
    <xf numFmtId="0" fontId="6" fillId="33" borderId="0" xfId="0" applyFont="1" applyFill="1" applyAlignment="1" quotePrefix="1">
      <alignment horizontal="center"/>
    </xf>
    <xf numFmtId="169" fontId="4" fillId="33" borderId="0" xfId="0" applyNumberFormat="1" applyFont="1" applyFill="1" applyAlignment="1" quotePrefix="1">
      <alignment horizontal="center"/>
    </xf>
    <xf numFmtId="172" fontId="6" fillId="33" borderId="40" xfId="0" applyNumberFormat="1" applyFont="1" applyFill="1" applyBorder="1" applyAlignment="1">
      <alignment/>
    </xf>
    <xf numFmtId="0" fontId="4" fillId="33" borderId="0" xfId="0" applyFont="1" applyFill="1" applyAlignment="1" quotePrefix="1">
      <alignment horizontal="center"/>
    </xf>
    <xf numFmtId="169" fontId="4" fillId="33" borderId="0" xfId="44" applyNumberFormat="1" applyFont="1" applyFill="1" applyAlignment="1">
      <alignment/>
    </xf>
    <xf numFmtId="169" fontId="4" fillId="33" borderId="0" xfId="44" applyNumberFormat="1" applyFont="1" applyFill="1" applyBorder="1" applyAlignment="1">
      <alignment/>
    </xf>
    <xf numFmtId="172" fontId="4" fillId="33" borderId="40" xfId="0" applyNumberFormat="1" applyFont="1" applyFill="1" applyBorder="1" applyAlignment="1">
      <alignment/>
    </xf>
    <xf numFmtId="165" fontId="27" fillId="33" borderId="0" xfId="59" applyNumberFormat="1" applyFont="1" applyFill="1" applyBorder="1" applyAlignment="1">
      <alignment horizontal="right"/>
    </xf>
    <xf numFmtId="164" fontId="4" fillId="33" borderId="0" xfId="44" applyNumberFormat="1" applyFont="1" applyFill="1" applyAlignment="1">
      <alignment/>
    </xf>
    <xf numFmtId="164" fontId="4" fillId="33" borderId="0" xfId="44" applyNumberFormat="1" applyFont="1" applyFill="1" applyBorder="1" applyAlignment="1">
      <alignment/>
    </xf>
    <xf numFmtId="172" fontId="4" fillId="33" borderId="0" xfId="0" applyNumberFormat="1" applyFont="1" applyFill="1" applyAlignment="1">
      <alignment/>
    </xf>
    <xf numFmtId="164" fontId="4" fillId="33" borderId="0" xfId="0" applyNumberFormat="1" applyFont="1" applyFill="1" applyAlignment="1" quotePrefix="1">
      <alignment horizontal="center"/>
    </xf>
    <xf numFmtId="164" fontId="6" fillId="33" borderId="0" xfId="0" applyNumberFormat="1" applyFont="1" applyFill="1" applyAlignment="1" quotePrefix="1">
      <alignment horizontal="center"/>
    </xf>
    <xf numFmtId="172" fontId="6" fillId="33" borderId="0" xfId="0" applyNumberFormat="1" applyFont="1" applyFill="1" applyAlignment="1">
      <alignment/>
    </xf>
    <xf numFmtId="0" fontId="29" fillId="33" borderId="0" xfId="0" applyFont="1" applyFill="1" applyAlignment="1">
      <alignment/>
    </xf>
    <xf numFmtId="0" fontId="29" fillId="13" borderId="0" xfId="0" applyFont="1" applyFill="1" applyAlignment="1">
      <alignment/>
    </xf>
    <xf numFmtId="0" fontId="29" fillId="33" borderId="0" xfId="0" applyFont="1" applyFill="1" applyBorder="1" applyAlignment="1">
      <alignment/>
    </xf>
    <xf numFmtId="0" fontId="30" fillId="33" borderId="0" xfId="0" applyFont="1" applyFill="1" applyAlignment="1">
      <alignment/>
    </xf>
    <xf numFmtId="0" fontId="29" fillId="33" borderId="0" xfId="0" applyFont="1" applyFill="1" applyAlignment="1">
      <alignment horizontal="center"/>
    </xf>
    <xf numFmtId="0" fontId="31" fillId="33" borderId="0" xfId="0" applyFont="1" applyFill="1" applyAlignment="1">
      <alignment/>
    </xf>
    <xf numFmtId="0" fontId="32" fillId="33" borderId="0" xfId="0" applyFont="1" applyFill="1" applyAlignment="1">
      <alignment/>
    </xf>
    <xf numFmtId="0" fontId="33" fillId="33" borderId="0" xfId="0" applyFont="1" applyFill="1" applyAlignment="1">
      <alignment/>
    </xf>
    <xf numFmtId="165" fontId="79" fillId="13" borderId="10" xfId="59" applyNumberFormat="1" applyFont="1" applyFill="1" applyBorder="1" applyAlignment="1">
      <alignment horizontal="center"/>
    </xf>
    <xf numFmtId="0" fontId="29" fillId="33" borderId="0" xfId="0" applyFont="1" applyFill="1" applyAlignment="1" quotePrefix="1">
      <alignment horizontal="center"/>
    </xf>
    <xf numFmtId="0" fontId="29" fillId="33" borderId="0" xfId="0" applyFont="1" applyFill="1" applyAlignment="1">
      <alignment horizontal="left"/>
    </xf>
    <xf numFmtId="0" fontId="29" fillId="33" borderId="39" xfId="0" applyFont="1" applyFill="1" applyBorder="1" applyAlignment="1">
      <alignment/>
    </xf>
    <xf numFmtId="166" fontId="5" fillId="33" borderId="0" xfId="0" applyNumberFormat="1" applyFont="1" applyFill="1" applyBorder="1" applyAlignment="1" quotePrefix="1">
      <alignment horizontal="left"/>
    </xf>
    <xf numFmtId="166" fontId="80" fillId="33" borderId="0" xfId="0" applyNumberFormat="1" applyFont="1" applyFill="1" applyBorder="1" applyAlignment="1">
      <alignment/>
    </xf>
    <xf numFmtId="166" fontId="5" fillId="33" borderId="0" xfId="0" applyNumberFormat="1" applyFont="1" applyFill="1" applyBorder="1" applyAlignment="1">
      <alignment/>
    </xf>
    <xf numFmtId="166" fontId="6" fillId="33" borderId="0" xfId="0" applyNumberFormat="1" applyFont="1" applyFill="1" applyBorder="1" applyAlignment="1" quotePrefix="1">
      <alignment horizontal="left"/>
    </xf>
    <xf numFmtId="166" fontId="6" fillId="33" borderId="0" xfId="0" applyNumberFormat="1" applyFont="1" applyFill="1" applyBorder="1" applyAlignment="1" quotePrefix="1">
      <alignment horizontal="left" vertical="center"/>
    </xf>
    <xf numFmtId="166" fontId="4" fillId="13" borderId="41" xfId="0" applyNumberFormat="1" applyFont="1" applyFill="1" applyBorder="1" applyAlignment="1">
      <alignment vertical="center"/>
    </xf>
    <xf numFmtId="166" fontId="4" fillId="13" borderId="42" xfId="0" applyNumberFormat="1" applyFont="1" applyFill="1" applyBorder="1" applyAlignment="1">
      <alignment vertical="center"/>
    </xf>
    <xf numFmtId="166" fontId="4" fillId="13" borderId="43" xfId="0" applyNumberFormat="1" applyFont="1" applyFill="1" applyBorder="1" applyAlignment="1">
      <alignment vertical="center"/>
    </xf>
    <xf numFmtId="166" fontId="4" fillId="13" borderId="44" xfId="0" applyNumberFormat="1" applyFont="1" applyFill="1" applyBorder="1" applyAlignment="1">
      <alignment vertical="center"/>
    </xf>
    <xf numFmtId="166" fontId="4" fillId="13" borderId="45" xfId="0" applyNumberFormat="1" applyFont="1" applyFill="1" applyBorder="1" applyAlignment="1">
      <alignment horizontal="center"/>
    </xf>
    <xf numFmtId="166" fontId="4" fillId="13" borderId="36" xfId="0" applyNumberFormat="1" applyFont="1" applyFill="1" applyBorder="1" applyAlignment="1">
      <alignment horizontal="center"/>
    </xf>
    <xf numFmtId="166" fontId="4" fillId="13" borderId="35" xfId="0" applyNumberFormat="1" applyFont="1" applyFill="1" applyBorder="1" applyAlignment="1">
      <alignment horizontal="center"/>
    </xf>
    <xf numFmtId="166" fontId="4" fillId="13" borderId="46" xfId="0" applyNumberFormat="1" applyFont="1" applyFill="1" applyBorder="1" applyAlignment="1">
      <alignment/>
    </xf>
    <xf numFmtId="1" fontId="7" fillId="13" borderId="46" xfId="0" applyNumberFormat="1" applyFont="1" applyFill="1" applyBorder="1" applyAlignment="1">
      <alignment horizontal="center"/>
    </xf>
    <xf numFmtId="49" fontId="7" fillId="13" borderId="46" xfId="0" applyNumberFormat="1" applyFont="1" applyFill="1" applyBorder="1" applyAlignment="1">
      <alignment horizontal="center"/>
    </xf>
    <xf numFmtId="1" fontId="7" fillId="13" borderId="0" xfId="0" applyNumberFormat="1" applyFont="1" applyFill="1" applyBorder="1" applyAlignment="1">
      <alignment horizontal="center"/>
    </xf>
    <xf numFmtId="1" fontId="7" fillId="13" borderId="47" xfId="0" applyNumberFormat="1" applyFont="1" applyFill="1" applyBorder="1" applyAlignment="1">
      <alignment horizontal="center"/>
    </xf>
    <xf numFmtId="166" fontId="4" fillId="13" borderId="48" xfId="0" applyNumberFormat="1" applyFont="1" applyFill="1" applyBorder="1" applyAlignment="1">
      <alignment horizontal="center"/>
    </xf>
    <xf numFmtId="166" fontId="4" fillId="13" borderId="0" xfId="0" applyNumberFormat="1" applyFont="1" applyFill="1" applyBorder="1" applyAlignment="1">
      <alignment horizontal="center"/>
    </xf>
    <xf numFmtId="166" fontId="4" fillId="13" borderId="49" xfId="0" applyNumberFormat="1" applyFont="1" applyFill="1" applyBorder="1" applyAlignment="1">
      <alignment horizontal="center"/>
    </xf>
    <xf numFmtId="166" fontId="4" fillId="13" borderId="50" xfId="0" applyNumberFormat="1" applyFont="1" applyFill="1" applyBorder="1" applyAlignment="1">
      <alignment horizontal="center"/>
    </xf>
    <xf numFmtId="166" fontId="4" fillId="13" borderId="51" xfId="0" applyNumberFormat="1" applyFont="1" applyFill="1" applyBorder="1" applyAlignment="1">
      <alignment horizontal="left"/>
    </xf>
    <xf numFmtId="166" fontId="4" fillId="13" borderId="47" xfId="0" applyNumberFormat="1" applyFont="1" applyFill="1" applyBorder="1" applyAlignment="1">
      <alignment horizontal="center"/>
    </xf>
    <xf numFmtId="166" fontId="4" fillId="13" borderId="52" xfId="0" applyNumberFormat="1" applyFont="1" applyFill="1" applyBorder="1" applyAlignment="1">
      <alignment/>
    </xf>
    <xf numFmtId="166" fontId="4" fillId="13" borderId="39" xfId="0" applyNumberFormat="1" applyFont="1" applyFill="1" applyBorder="1" applyAlignment="1">
      <alignment/>
    </xf>
    <xf numFmtId="166" fontId="4" fillId="13" borderId="53" xfId="0" applyNumberFormat="1" applyFont="1" applyFill="1" applyBorder="1" applyAlignment="1">
      <alignment/>
    </xf>
    <xf numFmtId="166" fontId="4" fillId="13" borderId="54" xfId="0" applyNumberFormat="1" applyFont="1" applyFill="1" applyBorder="1" applyAlignment="1">
      <alignment/>
    </xf>
    <xf numFmtId="166" fontId="4" fillId="13" borderId="39" xfId="0" applyNumberFormat="1" applyFont="1" applyFill="1" applyBorder="1" applyAlignment="1">
      <alignment horizontal="center"/>
    </xf>
    <xf numFmtId="166" fontId="4" fillId="13" borderId="55" xfId="0" applyNumberFormat="1" applyFont="1" applyFill="1" applyBorder="1" applyAlignment="1">
      <alignment/>
    </xf>
    <xf numFmtId="166" fontId="6" fillId="33" borderId="0" xfId="0" applyNumberFormat="1" applyFont="1" applyFill="1" applyBorder="1" applyAlignment="1">
      <alignment horizontal="left"/>
    </xf>
    <xf numFmtId="166" fontId="4" fillId="33" borderId="0" xfId="0" applyNumberFormat="1" applyFont="1" applyFill="1" applyBorder="1" applyAlignment="1">
      <alignment horizontal="center"/>
    </xf>
    <xf numFmtId="166" fontId="7" fillId="33" borderId="0" xfId="0" applyNumberFormat="1" applyFont="1" applyFill="1" applyBorder="1" applyAlignment="1">
      <alignment horizontal="center"/>
    </xf>
    <xf numFmtId="166" fontId="4" fillId="0" borderId="56" xfId="0" applyNumberFormat="1" applyFont="1" applyFill="1" applyBorder="1" applyAlignment="1">
      <alignment/>
    </xf>
    <xf numFmtId="166" fontId="4" fillId="0" borderId="57" xfId="0" applyNumberFormat="1" applyFont="1" applyFill="1" applyBorder="1" applyAlignment="1">
      <alignment/>
    </xf>
    <xf numFmtId="166" fontId="4" fillId="0" borderId="58" xfId="0" applyNumberFormat="1" applyFont="1" applyFill="1" applyBorder="1" applyAlignment="1">
      <alignment/>
    </xf>
    <xf numFmtId="166" fontId="4" fillId="0" borderId="59" xfId="0" applyNumberFormat="1" applyFont="1" applyFill="1" applyBorder="1" applyAlignment="1">
      <alignment/>
    </xf>
    <xf numFmtId="166" fontId="4" fillId="0" borderId="57" xfId="0" applyNumberFormat="1" applyFont="1" applyBorder="1" applyAlignment="1">
      <alignment/>
    </xf>
    <xf numFmtId="166" fontId="4" fillId="0" borderId="60" xfId="0" applyNumberFormat="1" applyFont="1" applyBorder="1" applyAlignment="1">
      <alignment/>
    </xf>
    <xf numFmtId="1" fontId="4" fillId="33" borderId="0" xfId="0" applyNumberFormat="1" applyFont="1" applyFill="1" applyBorder="1" applyAlignment="1">
      <alignment horizontal="center"/>
    </xf>
    <xf numFmtId="166" fontId="4" fillId="0" borderId="48" xfId="0" applyNumberFormat="1" applyFont="1" applyFill="1" applyBorder="1" applyAlignment="1">
      <alignment/>
    </xf>
    <xf numFmtId="166" fontId="81" fillId="38" borderId="61" xfId="0" applyNumberFormat="1" applyFont="1" applyFill="1" applyBorder="1" applyAlignment="1">
      <alignment/>
    </xf>
    <xf numFmtId="166" fontId="4" fillId="38" borderId="49" xfId="0" applyNumberFormat="1" applyFont="1" applyFill="1" applyBorder="1" applyAlignment="1">
      <alignment/>
    </xf>
    <xf numFmtId="166" fontId="4" fillId="38" borderId="50" xfId="0" applyNumberFormat="1" applyFont="1" applyFill="1" applyBorder="1" applyAlignment="1">
      <alignment/>
    </xf>
    <xf numFmtId="166" fontId="4" fillId="38" borderId="62" xfId="0" applyNumberFormat="1" applyFont="1" applyFill="1" applyBorder="1" applyAlignment="1">
      <alignment/>
    </xf>
    <xf numFmtId="166" fontId="8" fillId="38" borderId="61" xfId="0" applyNumberFormat="1" applyFont="1" applyFill="1" applyBorder="1" applyAlignment="1">
      <alignment/>
    </xf>
    <xf numFmtId="166" fontId="8" fillId="0" borderId="47" xfId="0" applyNumberFormat="1" applyFont="1" applyBorder="1" applyAlignment="1">
      <alignment/>
    </xf>
    <xf numFmtId="166" fontId="8" fillId="38" borderId="63" xfId="0" applyNumberFormat="1" applyFont="1" applyFill="1" applyBorder="1" applyAlignment="1">
      <alignment/>
    </xf>
    <xf numFmtId="166" fontId="81" fillId="38" borderId="63" xfId="0" applyNumberFormat="1" applyFont="1" applyFill="1" applyBorder="1" applyAlignment="1">
      <alignment/>
    </xf>
    <xf numFmtId="166" fontId="4" fillId="0" borderId="48" xfId="0" applyNumberFormat="1" applyFont="1" applyFill="1" applyBorder="1" applyAlignment="1">
      <alignment horizontal="center"/>
    </xf>
    <xf numFmtId="166" fontId="4" fillId="38" borderId="49" xfId="0" applyNumberFormat="1" applyFont="1" applyFill="1" applyBorder="1" applyAlignment="1">
      <alignment horizontal="center"/>
    </xf>
    <xf numFmtId="166" fontId="4" fillId="38" borderId="50" xfId="0" applyNumberFormat="1" applyFont="1" applyFill="1" applyBorder="1" applyAlignment="1">
      <alignment horizontal="center"/>
    </xf>
    <xf numFmtId="166" fontId="4" fillId="38" borderId="61" xfId="0" applyNumberFormat="1" applyFont="1" applyFill="1" applyBorder="1" applyAlignment="1">
      <alignment horizontal="right"/>
    </xf>
    <xf numFmtId="166" fontId="4" fillId="0" borderId="48" xfId="0" applyNumberFormat="1" applyFont="1" applyBorder="1" applyAlignment="1">
      <alignment/>
    </xf>
    <xf numFmtId="166" fontId="4" fillId="38" borderId="0" xfId="0" applyNumberFormat="1" applyFont="1" applyFill="1" applyBorder="1" applyAlignment="1">
      <alignment/>
    </xf>
    <xf numFmtId="166" fontId="4" fillId="0" borderId="52" xfId="0" applyNumberFormat="1" applyFont="1" applyFill="1" applyBorder="1" applyAlignment="1">
      <alignment/>
    </xf>
    <xf numFmtId="166" fontId="4" fillId="38" borderId="39" xfId="0" applyNumberFormat="1" applyFont="1" applyFill="1" applyBorder="1" applyAlignment="1">
      <alignment/>
    </xf>
    <xf numFmtId="166" fontId="4" fillId="38" borderId="53" xfId="0" applyNumberFormat="1" applyFont="1" applyFill="1" applyBorder="1" applyAlignment="1">
      <alignment/>
    </xf>
    <xf numFmtId="166" fontId="4" fillId="38" borderId="54" xfId="0" applyNumberFormat="1" applyFont="1" applyFill="1" applyBorder="1" applyAlignment="1">
      <alignment/>
    </xf>
    <xf numFmtId="166" fontId="4" fillId="0" borderId="55" xfId="0" applyNumberFormat="1" applyFont="1" applyBorder="1" applyAlignment="1">
      <alignment/>
    </xf>
    <xf numFmtId="166" fontId="4" fillId="33" borderId="0" xfId="0" applyNumberFormat="1" applyFont="1" applyFill="1" applyBorder="1" applyAlignment="1" quotePrefix="1">
      <alignment horizontal="left"/>
    </xf>
    <xf numFmtId="166" fontId="81" fillId="33" borderId="63" xfId="0" applyNumberFormat="1" applyFont="1" applyFill="1" applyBorder="1" applyAlignment="1">
      <alignment/>
    </xf>
    <xf numFmtId="166" fontId="7" fillId="33" borderId="0" xfId="0" applyNumberFormat="1" applyFont="1" applyFill="1" applyBorder="1" applyAlignment="1">
      <alignment/>
    </xf>
    <xf numFmtId="166" fontId="10" fillId="33" borderId="0" xfId="0" applyNumberFormat="1" applyFont="1" applyFill="1" applyBorder="1" applyAlignment="1">
      <alignment/>
    </xf>
    <xf numFmtId="166" fontId="11" fillId="33" borderId="0" xfId="0" applyNumberFormat="1" applyFont="1" applyFill="1" applyBorder="1" applyAlignment="1">
      <alignment/>
    </xf>
    <xf numFmtId="166" fontId="81" fillId="33" borderId="0" xfId="0" applyNumberFormat="1" applyFont="1" applyFill="1" applyBorder="1" applyAlignment="1">
      <alignment/>
    </xf>
    <xf numFmtId="166" fontId="12" fillId="33" borderId="0" xfId="0" applyNumberFormat="1" applyFont="1" applyFill="1" applyBorder="1" applyAlignment="1">
      <alignment/>
    </xf>
    <xf numFmtId="166" fontId="4" fillId="35" borderId="64" xfId="0" applyNumberFormat="1" applyFont="1" applyFill="1" applyBorder="1" applyAlignment="1">
      <alignment/>
    </xf>
    <xf numFmtId="166" fontId="4" fillId="32" borderId="20" xfId="0" applyNumberFormat="1" applyFont="1" applyFill="1" applyBorder="1" applyAlignment="1">
      <alignment/>
    </xf>
    <xf numFmtId="0" fontId="82" fillId="33" borderId="0" xfId="0" applyFont="1" applyFill="1" applyAlignment="1">
      <alignment horizontal="center"/>
    </xf>
    <xf numFmtId="0" fontId="82" fillId="33" borderId="0" xfId="0" applyFont="1" applyFill="1" applyAlignment="1">
      <alignment/>
    </xf>
    <xf numFmtId="0" fontId="83" fillId="33" borderId="0" xfId="0" applyFont="1" applyFill="1" applyAlignment="1">
      <alignment horizontal="center"/>
    </xf>
    <xf numFmtId="166" fontId="82" fillId="35" borderId="23" xfId="0" applyNumberFormat="1" applyFont="1" applyFill="1" applyBorder="1" applyAlignment="1">
      <alignment/>
    </xf>
    <xf numFmtId="166" fontId="82" fillId="33" borderId="0" xfId="0" applyNumberFormat="1" applyFont="1" applyFill="1" applyAlignment="1">
      <alignment/>
    </xf>
    <xf numFmtId="166" fontId="82" fillId="35" borderId="24" xfId="0" applyNumberFormat="1" applyFont="1" applyFill="1" applyBorder="1" applyAlignment="1">
      <alignment/>
    </xf>
    <xf numFmtId="166" fontId="82" fillId="35" borderId="25" xfId="0" applyNumberFormat="1" applyFont="1" applyFill="1" applyBorder="1" applyAlignment="1">
      <alignment/>
    </xf>
    <xf numFmtId="166" fontId="82" fillId="35" borderId="26" xfId="0" applyNumberFormat="1" applyFont="1" applyFill="1" applyBorder="1" applyAlignment="1">
      <alignment/>
    </xf>
    <xf numFmtId="0" fontId="82" fillId="33" borderId="0" xfId="0" applyFont="1" applyFill="1" applyAlignment="1">
      <alignment horizontal="left"/>
    </xf>
    <xf numFmtId="166" fontId="4" fillId="33" borderId="0" xfId="0" applyNumberFormat="1" applyFont="1" applyFill="1" applyBorder="1" applyAlignment="1">
      <alignment horizontal="left" wrapText="1"/>
    </xf>
    <xf numFmtId="166" fontId="4" fillId="13" borderId="65" xfId="0" applyNumberFormat="1" applyFont="1" applyFill="1" applyBorder="1" applyAlignment="1">
      <alignment horizontal="center" vertical="center"/>
    </xf>
    <xf numFmtId="166" fontId="4" fillId="13" borderId="46" xfId="0" applyNumberFormat="1" applyFont="1" applyFill="1" applyBorder="1" applyAlignment="1">
      <alignment horizontal="center"/>
    </xf>
    <xf numFmtId="0" fontId="4" fillId="13" borderId="66" xfId="0" applyFont="1" applyFill="1" applyBorder="1" applyAlignment="1">
      <alignment horizontal="center"/>
    </xf>
    <xf numFmtId="0" fontId="4" fillId="13" borderId="67" xfId="0" applyFont="1" applyFill="1" applyBorder="1" applyAlignment="1">
      <alignment horizontal="center"/>
    </xf>
    <xf numFmtId="0" fontId="4" fillId="13" borderId="68" xfId="0" applyFont="1" applyFill="1" applyBorder="1" applyAlignment="1">
      <alignment horizontal="center"/>
    </xf>
    <xf numFmtId="165" fontId="79" fillId="13" borderId="10" xfId="59" applyNumberFormat="1" applyFont="1" applyFill="1" applyBorder="1" applyAlignment="1">
      <alignment horizontal="center"/>
    </xf>
    <xf numFmtId="0" fontId="4"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UoS Tariffs"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1</xdr:row>
      <xdr:rowOff>85725</xdr:rowOff>
    </xdr:from>
    <xdr:ext cx="7772400" cy="5410200"/>
    <xdr:sp>
      <xdr:nvSpPr>
        <xdr:cNvPr id="1" name="Text Box 1"/>
        <xdr:cNvSpPr txBox="1">
          <a:spLocks noChangeArrowheads="1"/>
        </xdr:cNvSpPr>
      </xdr:nvSpPr>
      <xdr:spPr>
        <a:xfrm>
          <a:off x="285750" y="257175"/>
          <a:ext cx="7772400" cy="5410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Century Gothic"/>
              <a:ea typeface="Century Gothic"/>
              <a:cs typeface="Century Gothic"/>
            </a:rPr>
            <a:t>This Spreadsheet is owned by APA VTS Australia (Operations) Pty Ltd ("APA VTS Australia"). Your use of this Spreadsheet is conditional upon your acceptance and compliance with the terms, conditions, notices, and disclaimers contained in this document  (known collectively as "Terms of Use"). Your use of, and/or access to, the Spreadsheet constitutes your agreement to the Terms of Use. APA VTS Australia reserves the right to amend the Terms of Use at any time.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The user is solely responsible for: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The purpose for which the user makes use of the Spreadsheet; and,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Ensuring that no improper, fraudulent or unlawful use is made of the the Spreadsheet directly or indirectly including any activity which is prohibited under any law of the Commonwealth or States of Australia or elsewhere.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Disclaimer
</a:t>
          </a:r>
          <a:r>
            <a:rPr lang="en-US" cap="none" sz="1000" b="0" i="0" u="none" baseline="0">
              <a:solidFill>
                <a:srgbClr val="000000"/>
              </a:solidFill>
              <a:latin typeface="Century Gothic"/>
              <a:ea typeface="Century Gothic"/>
              <a:cs typeface="Century Gothic"/>
            </a:rPr>
            <a:t>The content of the Spreadsheet is provided for information purposes only. APA VTS Australia makes no claim as to the accuracy or authenticity of the content of the Spreadsheet. Furthermore, APA VTS Australia does not accept liability to any person for the information or advice provided on this Spreadsheet or incorporated into it by reference. APA VTS Australia does not accept any liability for loss or damages incurred as a result of reliance placed on the content of this Spreadsheet.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The information on the Spreadsheet is provided on the basis that all persons accessing this Spreadsheet undertake responsibility for assessing the relevance and accuracy of its content.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Downloading Documents
</a:t>
          </a:r>
          <a:r>
            <a:rPr lang="en-US" cap="none" sz="1000" b="0" i="0" u="none" baseline="0">
              <a:solidFill>
                <a:srgbClr val="000000"/>
              </a:solidFill>
              <a:latin typeface="Century Gothic"/>
              <a:ea typeface="Century Gothic"/>
              <a:cs typeface="Century Gothic"/>
            </a:rPr>
            <a:t>In line with standard APA VTS Australia anti-viral procedures, all documents on its Website have been scanned for viruses, however, APA VTS Australia does not accept any liability for loss or damages incurred as a result of saving, downloading, or opening documents which could be infected. APA VTS Australia recommends you save documents on the Website to your hard drive and scan them for viruses and defects first before opening them.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Copyright
</a:t>
          </a:r>
          <a:r>
            <a:rPr lang="en-US" cap="none" sz="1000" b="0" i="0" u="none" baseline="0">
              <a:solidFill>
                <a:srgbClr val="000000"/>
              </a:solidFill>
              <a:latin typeface="Century Gothic"/>
              <a:ea typeface="Century Gothic"/>
              <a:cs typeface="Century Gothic"/>
            </a:rPr>
            <a:t>Copyright of this spreadsheet resides with APA VTS Australia. Apart from fair dealing for the purposes of private study, research, criticism or review as permitted under copyright legislation, no part may be reproduced or reused for commercial purposes whatsoever without the express permission of APA VTS Australia.
</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9525</xdr:rowOff>
    </xdr:from>
    <xdr:to>
      <xdr:col>11</xdr:col>
      <xdr:colOff>542925</xdr:colOff>
      <xdr:row>34</xdr:row>
      <xdr:rowOff>104775</xdr:rowOff>
    </xdr:to>
    <xdr:sp>
      <xdr:nvSpPr>
        <xdr:cNvPr id="1" name="Text Box 1"/>
        <xdr:cNvSpPr txBox="1">
          <a:spLocks noChangeArrowheads="1"/>
        </xdr:cNvSpPr>
      </xdr:nvSpPr>
      <xdr:spPr>
        <a:xfrm>
          <a:off x="200025" y="476250"/>
          <a:ext cx="7058025" cy="5114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TJ</a:t>
          </a:r>
          <a:r>
            <a:rPr lang="en-US" cap="none" sz="1000" b="0" i="0" u="none" baseline="0">
              <a:solidFill>
                <a:srgbClr val="000000"/>
              </a:solidFill>
              <a:latin typeface="Century Gothic"/>
              <a:ea typeface="Century Gothic"/>
              <a:cs typeface="Century Gothic"/>
            </a:rPr>
            <a:t>: Terajoule
</a:t>
          </a:r>
          <a:r>
            <a:rPr lang="en-US" cap="none" sz="1000" b="1" i="0" u="none" baseline="0">
              <a:solidFill>
                <a:srgbClr val="000000"/>
              </a:solidFill>
              <a:latin typeface="Century Gothic"/>
              <a:ea typeface="Century Gothic"/>
              <a:cs typeface="Century Gothic"/>
            </a:rPr>
            <a:t>GJ</a:t>
          </a:r>
          <a:r>
            <a:rPr lang="en-US" cap="none" sz="1000" b="0" i="0" u="none" baseline="0">
              <a:solidFill>
                <a:srgbClr val="000000"/>
              </a:solidFill>
              <a:latin typeface="Century Gothic"/>
              <a:ea typeface="Century Gothic"/>
              <a:cs typeface="Century Gothic"/>
            </a:rPr>
            <a:t>: Gigajoule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Winter Period</a:t>
          </a:r>
          <a:r>
            <a:rPr lang="en-US" cap="none" sz="1000" b="0" i="0" u="none" baseline="0">
              <a:solidFill>
                <a:srgbClr val="000000"/>
              </a:solidFill>
              <a:latin typeface="Century Gothic"/>
              <a:ea typeface="Century Gothic"/>
              <a:cs typeface="Century Gothic"/>
            </a:rPr>
            <a:t>: June 1st to September 30th (inclusive) each year.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Tariff-D</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Customers</a:t>
          </a:r>
          <a:r>
            <a:rPr lang="en-US" cap="none" sz="1000" b="0" i="0" u="none" baseline="0">
              <a:solidFill>
                <a:srgbClr val="000000"/>
              </a:solidFill>
              <a:latin typeface="Century Gothic"/>
              <a:ea typeface="Century Gothic"/>
              <a:cs typeface="Century Gothic"/>
            </a:rPr>
            <a:t>: Customers consuming more than 10 TJ per annum or more than 10 GJ per hour.
</a:t>
          </a:r>
          <a:r>
            <a:rPr lang="en-US" cap="none" sz="1000" b="0" i="0" u="none" baseline="0">
              <a:solidFill>
                <a:srgbClr val="000000"/>
              </a:solidFill>
              <a:latin typeface="Century Gothic"/>
              <a:ea typeface="Century Gothic"/>
              <a:cs typeface="Century Gothic"/>
            </a:rPr>
            <a:t>Customers must have a meter capable of measuring and storing usage data on an hourly basis.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Tariff-V</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Customers</a:t>
          </a:r>
          <a:r>
            <a:rPr lang="en-US" cap="none" sz="1000" b="0" i="0" u="none" baseline="0">
              <a:solidFill>
                <a:srgbClr val="000000"/>
              </a:solidFill>
              <a:latin typeface="Century Gothic"/>
              <a:ea typeface="Century Gothic"/>
              <a:cs typeface="Century Gothic"/>
            </a:rPr>
            <a:t>: All customers who are not Tariff-D.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MDQ</a:t>
          </a:r>
          <a:r>
            <a:rPr lang="en-US" cap="none" sz="1000" b="0" i="0" u="none" baseline="0">
              <a:solidFill>
                <a:srgbClr val="000000"/>
              </a:solidFill>
              <a:latin typeface="Century Gothic"/>
              <a:ea typeface="Century Gothic"/>
              <a:cs typeface="Century Gothic"/>
            </a:rPr>
            <a:t>: Maximum Daily Quantity consumed on any day in the winter period of a year.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ADQ</a:t>
          </a:r>
          <a:r>
            <a:rPr lang="en-US" cap="none" sz="1000" b="0" i="0" u="none" baseline="0">
              <a:solidFill>
                <a:srgbClr val="000000"/>
              </a:solidFill>
              <a:latin typeface="Century Gothic"/>
              <a:ea typeface="Century Gothic"/>
              <a:cs typeface="Century Gothic"/>
            </a:rPr>
            <a:t>: Average Daily Quantity. Total annual consumption divided by 365.25.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Annual Load Factor</a:t>
          </a:r>
          <a:r>
            <a:rPr lang="en-US" cap="none" sz="1000" b="0" i="0" u="none" baseline="0">
              <a:solidFill>
                <a:srgbClr val="000000"/>
              </a:solidFill>
              <a:latin typeface="Century Gothic"/>
              <a:ea typeface="Century Gothic"/>
              <a:cs typeface="Century Gothic"/>
            </a:rPr>
            <a:t>: Ratio of ADQ over MDQ.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Ratio of Average of 10 Peak Days to MDQ</a:t>
          </a:r>
          <a:r>
            <a:rPr lang="en-US" cap="none" sz="1000" b="0" i="0" u="none" baseline="0">
              <a:solidFill>
                <a:srgbClr val="000000"/>
              </a:solidFill>
              <a:latin typeface="Century Gothic"/>
              <a:ea typeface="Century Gothic"/>
              <a:cs typeface="Century Gothic"/>
            </a:rPr>
            <a:t>: Total injections over 10 peak days divided by 10, divided by MDQ.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TSP</a:t>
          </a:r>
          <a:r>
            <a:rPr lang="en-US" cap="none" sz="1000" b="0" i="0" u="none" baseline="0">
              <a:solidFill>
                <a:srgbClr val="000000"/>
              </a:solidFill>
              <a:latin typeface="Century Gothic"/>
              <a:ea typeface="Century Gothic"/>
              <a:cs typeface="Century Gothic"/>
            </a:rPr>
            <a:t>: Transmission Supply Point. The point at which gas is delivered from the transmission system into a distribution network or directly to a gas consumer.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TPSP</a:t>
          </a:r>
          <a:r>
            <a:rPr lang="en-US" cap="none" sz="1000" b="0" i="0" u="none" baseline="0">
              <a:solidFill>
                <a:srgbClr val="000000"/>
              </a:solidFill>
              <a:latin typeface="Century Gothic"/>
              <a:ea typeface="Century Gothic"/>
              <a:cs typeface="Century Gothic"/>
            </a:rPr>
            <a:t>: Transmission Pipeline Supply Point. The point at which gas is delivered from the transmission system into a connected transmission pipeline.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Injection Zones</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Longford: ESSO/BHPP, VicHub
</a:t>
          </a:r>
          <a:r>
            <a:rPr lang="en-US" cap="none" sz="1000" b="0" i="0" u="none" baseline="0">
              <a:solidFill>
                <a:srgbClr val="000000"/>
              </a:solidFill>
              <a:latin typeface="Century Gothic"/>
              <a:ea typeface="Century Gothic"/>
              <a:cs typeface="Century Gothic"/>
            </a:rPr>
            <a:t>Pakenham: Bass Gas
</a:t>
          </a:r>
          <a:r>
            <a:rPr lang="en-US" cap="none" sz="1000" b="0" i="0" u="none" baseline="0">
              <a:solidFill>
                <a:srgbClr val="000000"/>
              </a:solidFill>
              <a:latin typeface="Century Gothic"/>
              <a:ea typeface="Century Gothic"/>
              <a:cs typeface="Century Gothic"/>
            </a:rPr>
            <a:t>Pt Campbell:  Underground Storage, SEA Gas Pipeline, Otway Gas.
</a:t>
          </a:r>
          <a:r>
            <a:rPr lang="en-US" cap="none" sz="1000" b="0" i="0" u="none" baseline="0">
              <a:solidFill>
                <a:srgbClr val="000000"/>
              </a:solidFill>
              <a:latin typeface="Century Gothic"/>
              <a:ea typeface="Century Gothic"/>
              <a:cs typeface="Century Gothic"/>
            </a:rPr>
            <a:t>Culcairn: Moomba Sydney Pipeline System
</a:t>
          </a:r>
          <a:r>
            <a:rPr lang="en-US" cap="none" sz="1000" b="0" i="0" u="none" baseline="0">
              <a:solidFill>
                <a:srgbClr val="000000"/>
              </a:solidFill>
              <a:latin typeface="Century Gothic"/>
              <a:ea typeface="Century Gothic"/>
              <a:cs typeface="Century Gothic"/>
            </a:rPr>
            <a:t>Dandenong: LNG Facility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16</xdr:col>
      <xdr:colOff>0</xdr:colOff>
      <xdr:row>14</xdr:row>
      <xdr:rowOff>0</xdr:rowOff>
    </xdr:to>
    <xdr:sp>
      <xdr:nvSpPr>
        <xdr:cNvPr id="1" name="Text Box 1"/>
        <xdr:cNvSpPr txBox="1">
          <a:spLocks noChangeArrowheads="1"/>
        </xdr:cNvSpPr>
      </xdr:nvSpPr>
      <xdr:spPr>
        <a:xfrm>
          <a:off x="3162300" y="1485900"/>
          <a:ext cx="7353300"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entury Gothic"/>
              <a:ea typeface="Century Gothic"/>
              <a:cs typeface="Century Gothic"/>
            </a:rPr>
            <a:t>
</a:t>
          </a:r>
          <a:r>
            <a:rPr lang="en-US" cap="none" sz="1100" b="0" i="0" u="none" baseline="0">
              <a:solidFill>
                <a:srgbClr val="000000"/>
              </a:solidFill>
              <a:latin typeface="Century Gothic"/>
              <a:ea typeface="Century Gothic"/>
              <a:cs typeface="Century Gothic"/>
            </a:rPr>
            <a:t>The injection charge is levied on the top-10 winter (June to September) MDQ for each injection point.   If your load has peaks which are not correlated with the system peaks, then the injection volume calculated from your MDQ will overstate the actual volume that will be charged.
</a:t>
          </a:r>
          <a:r>
            <a:rPr lang="en-US" cap="none" sz="1100" b="0" i="0" u="none" baseline="0">
              <a:solidFill>
                <a:srgbClr val="000000"/>
              </a:solidFill>
              <a:latin typeface="Century Gothic"/>
              <a:ea typeface="Century Gothic"/>
              <a:cs typeface="Century Gothic"/>
            </a:rPr>
            <a:t>As the output is particularly sensitive to this variable, you can choose below to over-ride the calculated injection by entering a lower volume.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10</xdr:col>
      <xdr:colOff>762000</xdr:colOff>
      <xdr:row>17</xdr:row>
      <xdr:rowOff>0</xdr:rowOff>
    </xdr:to>
    <xdr:sp>
      <xdr:nvSpPr>
        <xdr:cNvPr id="1" name="Text Box 1"/>
        <xdr:cNvSpPr txBox="1">
          <a:spLocks noChangeArrowheads="1"/>
        </xdr:cNvSpPr>
      </xdr:nvSpPr>
      <xdr:spPr>
        <a:xfrm>
          <a:off x="428625" y="2152650"/>
          <a:ext cx="826770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The injection charge is levied on the top-10 winter (June to September) MDQ for each injection point.   If your load has peaks which are not correlated with the system peaks, then the injection volume calculated from your MDQ will overstate the actual volume that will be charged.  As the output is particularly sensitive to this variable, you can choose below to over-ride the calculated injection by entering a lower volume.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theme="0" tint="-0.3499799966812134"/>
    <pageSetUpPr fitToPage="1"/>
  </sheetPr>
  <dimension ref="A1:H1"/>
  <sheetViews>
    <sheetView zoomScalePageLayoutView="0" workbookViewId="0" topLeftCell="A1">
      <selection activeCell="R20" sqref="R20"/>
    </sheetView>
  </sheetViews>
  <sheetFormatPr defaultColWidth="9.140625" defaultRowHeight="12.75"/>
  <cols>
    <col min="1" max="1" width="9.421875" style="1" customWidth="1"/>
    <col min="2" max="4" width="9.140625" style="1" customWidth="1"/>
    <col min="5" max="5" width="10.140625" style="1" bestFit="1" customWidth="1"/>
    <col min="6" max="16384" width="9.140625" style="1" customWidth="1"/>
  </cols>
  <sheetData>
    <row r="1" spans="1:8" s="3" customFormat="1" ht="13.5">
      <c r="A1" s="3" t="s">
        <v>95</v>
      </c>
      <c r="B1" s="4">
        <v>4.01</v>
      </c>
      <c r="D1" s="5" t="s">
        <v>96</v>
      </c>
      <c r="E1" s="6">
        <v>42340</v>
      </c>
      <c r="G1" s="7" t="s">
        <v>97</v>
      </c>
      <c r="H1" s="5">
        <v>2019</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printOptions/>
  <pageMargins left="0.7874015748031497" right="0.7874015748031497" top="0.7874015748031497" bottom="0.7874015748031497" header="0.5118110236220472" footer="0.3937007874015748"/>
  <pageSetup fitToHeight="1" fitToWidth="1" horizontalDpi="600" verticalDpi="600" orientation="landscape" paperSize="9" r:id="rId2"/>
  <headerFooter alignWithMargins="0">
    <oddHeader>&amp;C&amp;"Arial,Bold"&amp;14TERMS OF USE</oddHeader>
    <oddFooter>&amp;L&amp;F  &amp;A&amp;CGasNet Australia&amp;R&amp;D</oddFooter>
  </headerFooter>
  <drawing r:id="rId1"/>
</worksheet>
</file>

<file path=xl/worksheets/sheet2.xml><?xml version="1.0" encoding="utf-8"?>
<worksheet xmlns="http://schemas.openxmlformats.org/spreadsheetml/2006/main" xmlns:r="http://schemas.openxmlformats.org/officeDocument/2006/relationships">
  <sheetPr codeName="Sheet2">
    <tabColor theme="0" tint="-0.3499799966812134"/>
    <pageSetUpPr fitToPage="1"/>
  </sheetPr>
  <dimension ref="B2:B2"/>
  <sheetViews>
    <sheetView zoomScalePageLayoutView="0" workbookViewId="0" topLeftCell="A1">
      <selection activeCell="R20" sqref="R20"/>
    </sheetView>
  </sheetViews>
  <sheetFormatPr defaultColWidth="9.28125" defaultRowHeight="12.75"/>
  <cols>
    <col min="1" max="1" width="2.7109375" style="1" customWidth="1"/>
    <col min="2" max="6" width="9.28125" style="1" customWidth="1"/>
    <col min="7" max="7" width="10.7109375" style="1" customWidth="1"/>
    <col min="8" max="8" width="9.28125" style="1" customWidth="1"/>
    <col min="9" max="9" width="13.00390625" style="1" customWidth="1"/>
    <col min="10" max="16384" width="9.28125" style="1" customWidth="1"/>
  </cols>
  <sheetData>
    <row r="1" ht="6" customHeight="1"/>
    <row r="2" ht="18">
      <c r="B2" s="2" t="s">
        <v>0</v>
      </c>
    </row>
  </sheetData>
  <sheetProtection/>
  <printOptions/>
  <pageMargins left="0.7874015748031497" right="0.7874015748031497" top="0.7874015748031497" bottom="0.7874015748031497" header="0.5118110236220472" footer="0.3937007874015748"/>
  <pageSetup fitToHeight="1" fitToWidth="1" horizontalDpi="600" verticalDpi="600" orientation="landscape" paperSize="9" r:id="rId2"/>
  <headerFooter alignWithMargins="0">
    <oddFooter>&amp;L&amp;F  &amp;A&amp;CGasNet Australia&amp;R&amp;D</oddFooter>
  </headerFooter>
  <drawing r:id="rId1"/>
</worksheet>
</file>

<file path=xl/worksheets/sheet3.xml><?xml version="1.0" encoding="utf-8"?>
<worksheet xmlns="http://schemas.openxmlformats.org/spreadsheetml/2006/main" xmlns:r="http://schemas.openxmlformats.org/officeDocument/2006/relationships">
  <sheetPr codeName="Sheet3">
    <tabColor theme="0" tint="-0.3499799966812134"/>
    <pageSetUpPr fitToPage="1"/>
  </sheetPr>
  <dimension ref="A2:V74"/>
  <sheetViews>
    <sheetView tabSelected="1" zoomScalePageLayoutView="0" workbookViewId="0" topLeftCell="A1">
      <selection activeCell="G23" sqref="G23"/>
    </sheetView>
  </sheetViews>
  <sheetFormatPr defaultColWidth="9.28125" defaultRowHeight="12.75"/>
  <cols>
    <col min="1" max="1" width="2.7109375" style="8" customWidth="1"/>
    <col min="2" max="2" width="9.28125" style="8" customWidth="1"/>
    <col min="3" max="3" width="17.421875" style="8" customWidth="1"/>
    <col min="4" max="4" width="1.7109375" style="8" customWidth="1"/>
    <col min="5" max="6" width="9.7109375" style="8" customWidth="1"/>
    <col min="7" max="8" width="1.7109375" style="8" customWidth="1"/>
    <col min="9" max="9" width="10.7109375" style="8" customWidth="1"/>
    <col min="10" max="10" width="11.00390625" style="8" customWidth="1"/>
    <col min="11" max="11" width="9.7109375" style="8" customWidth="1"/>
    <col min="12" max="13" width="1.7109375" style="8" customWidth="1"/>
    <col min="14" max="20" width="10.7109375" style="8" customWidth="1"/>
    <col min="21" max="21" width="2.00390625" style="8" customWidth="1"/>
    <col min="22" max="16384" width="9.28125" style="8" customWidth="1"/>
  </cols>
  <sheetData>
    <row r="1" ht="6" customHeight="1"/>
    <row r="2" spans="2:20" ht="18">
      <c r="B2" s="151" t="s">
        <v>109</v>
      </c>
      <c r="P2" s="228"/>
      <c r="Q2" s="228"/>
      <c r="R2" s="228"/>
      <c r="S2" s="228"/>
      <c r="T2" s="228"/>
    </row>
    <row r="3" spans="1:20" ht="18">
      <c r="A3" s="152"/>
      <c r="B3" s="153" t="s">
        <v>103</v>
      </c>
      <c r="P3" s="228"/>
      <c r="Q3" s="228"/>
      <c r="R3" s="228"/>
      <c r="S3" s="228"/>
      <c r="T3" s="228"/>
    </row>
    <row r="4" ht="18.75" customHeight="1" thickBot="1">
      <c r="B4" s="154"/>
    </row>
    <row r="5" spans="1:22" ht="18.75" customHeight="1">
      <c r="A5" s="155"/>
      <c r="B5" s="9"/>
      <c r="C5" s="9"/>
      <c r="D5" s="156"/>
      <c r="E5" s="229" t="s">
        <v>1</v>
      </c>
      <c r="F5" s="229"/>
      <c r="G5" s="157"/>
      <c r="H5" s="158"/>
      <c r="I5" s="229" t="s">
        <v>2</v>
      </c>
      <c r="J5" s="229"/>
      <c r="K5" s="229"/>
      <c r="L5" s="157"/>
      <c r="M5" s="158"/>
      <c r="N5" s="229" t="s">
        <v>3</v>
      </c>
      <c r="O5" s="229"/>
      <c r="P5" s="229"/>
      <c r="Q5" s="229"/>
      <c r="R5" s="229"/>
      <c r="S5" s="229"/>
      <c r="T5" s="229"/>
      <c r="U5" s="159"/>
      <c r="V5" s="9"/>
    </row>
    <row r="6" spans="1:22" s="9" customFormat="1" ht="18.75" customHeight="1">
      <c r="A6" s="154"/>
      <c r="B6" s="8"/>
      <c r="C6" s="8"/>
      <c r="D6" s="160"/>
      <c r="E6" s="230" t="s">
        <v>6</v>
      </c>
      <c r="F6" s="230"/>
      <c r="G6" s="161"/>
      <c r="H6" s="162"/>
      <c r="I6" s="163"/>
      <c r="J6" s="230" t="s">
        <v>6</v>
      </c>
      <c r="K6" s="230"/>
      <c r="L6" s="161"/>
      <c r="M6" s="162"/>
      <c r="N6" s="164">
        <v>101</v>
      </c>
      <c r="O6" s="164">
        <v>103</v>
      </c>
      <c r="P6" s="164">
        <v>105</v>
      </c>
      <c r="Q6" s="164">
        <v>109</v>
      </c>
      <c r="R6" s="165" t="s">
        <v>104</v>
      </c>
      <c r="S6" s="164">
        <v>108</v>
      </c>
      <c r="T6" s="166">
        <v>110</v>
      </c>
      <c r="U6" s="167"/>
      <c r="V6" s="8"/>
    </row>
    <row r="7" spans="1:21" ht="12.75" customHeight="1">
      <c r="A7" s="154"/>
      <c r="D7" s="168"/>
      <c r="E7" s="169" t="s">
        <v>7</v>
      </c>
      <c r="F7" s="169" t="s">
        <v>8</v>
      </c>
      <c r="G7" s="170"/>
      <c r="H7" s="171"/>
      <c r="I7" s="172" t="s">
        <v>84</v>
      </c>
      <c r="J7" s="169" t="s">
        <v>7</v>
      </c>
      <c r="K7" s="169" t="s">
        <v>8</v>
      </c>
      <c r="L7" s="170"/>
      <c r="M7" s="171"/>
      <c r="N7" s="169" t="s">
        <v>9</v>
      </c>
      <c r="O7" s="169" t="s">
        <v>4</v>
      </c>
      <c r="P7" s="169" t="s">
        <v>91</v>
      </c>
      <c r="Q7" s="169" t="s">
        <v>5</v>
      </c>
      <c r="R7" s="169" t="s">
        <v>105</v>
      </c>
      <c r="S7" s="169" t="s">
        <v>88</v>
      </c>
      <c r="T7" s="169" t="s">
        <v>100</v>
      </c>
      <c r="U7" s="173"/>
    </row>
    <row r="8" spans="4:21" ht="12.75" customHeight="1" thickBot="1">
      <c r="D8" s="174"/>
      <c r="E8" s="175"/>
      <c r="F8" s="175"/>
      <c r="G8" s="176"/>
      <c r="H8" s="177"/>
      <c r="I8" s="175"/>
      <c r="J8" s="175"/>
      <c r="K8" s="175"/>
      <c r="L8" s="176"/>
      <c r="M8" s="177"/>
      <c r="N8" s="175"/>
      <c r="O8" s="175"/>
      <c r="P8" s="175"/>
      <c r="Q8" s="175"/>
      <c r="R8" s="178" t="s">
        <v>106</v>
      </c>
      <c r="S8" s="175"/>
      <c r="T8" s="175"/>
      <c r="U8" s="179"/>
    </row>
    <row r="9" ht="6" customHeight="1"/>
    <row r="10" spans="1:21" ht="11.25" customHeight="1">
      <c r="A10" s="154"/>
      <c r="B10" s="180" t="s">
        <v>11</v>
      </c>
      <c r="D10" s="181"/>
      <c r="E10" s="182" t="s">
        <v>12</v>
      </c>
      <c r="F10" s="182" t="s">
        <v>12</v>
      </c>
      <c r="G10" s="182"/>
      <c r="H10" s="182"/>
      <c r="I10" s="182"/>
      <c r="J10" s="182" t="s">
        <v>12</v>
      </c>
      <c r="K10" s="182" t="s">
        <v>12</v>
      </c>
      <c r="L10" s="182"/>
      <c r="M10" s="182"/>
      <c r="N10" s="182" t="s">
        <v>12</v>
      </c>
      <c r="O10" s="182" t="s">
        <v>12</v>
      </c>
      <c r="P10" s="182" t="s">
        <v>12</v>
      </c>
      <c r="Q10" s="182" t="s">
        <v>12</v>
      </c>
      <c r="R10" s="182" t="s">
        <v>12</v>
      </c>
      <c r="S10" s="182" t="s">
        <v>12</v>
      </c>
      <c r="T10" s="182" t="s">
        <v>12</v>
      </c>
      <c r="U10" s="182"/>
    </row>
    <row r="11" ht="14.25" thickBot="1">
      <c r="B11" s="180" t="s">
        <v>13</v>
      </c>
    </row>
    <row r="12" spans="4:21" ht="12.75" customHeight="1">
      <c r="D12" s="183"/>
      <c r="E12" s="184"/>
      <c r="F12" s="184"/>
      <c r="G12" s="185"/>
      <c r="H12" s="186"/>
      <c r="I12" s="187"/>
      <c r="J12" s="184"/>
      <c r="K12" s="184"/>
      <c r="L12" s="185"/>
      <c r="M12" s="186"/>
      <c r="N12" s="187"/>
      <c r="O12" s="187"/>
      <c r="P12" s="187"/>
      <c r="Q12" s="187"/>
      <c r="R12" s="187"/>
      <c r="S12" s="187"/>
      <c r="T12" s="187"/>
      <c r="U12" s="188"/>
    </row>
    <row r="13" spans="2:21" ht="12.75" customHeight="1">
      <c r="B13" s="189">
        <v>1</v>
      </c>
      <c r="C13" s="8" t="s">
        <v>14</v>
      </c>
      <c r="D13" s="190"/>
      <c r="E13" s="191">
        <v>0.1669</v>
      </c>
      <c r="F13" s="191">
        <v>0.1658</v>
      </c>
      <c r="G13" s="192"/>
      <c r="H13" s="193"/>
      <c r="I13" s="194"/>
      <c r="J13" s="195"/>
      <c r="K13" s="195"/>
      <c r="L13" s="192"/>
      <c r="M13" s="193"/>
      <c r="N13" s="191">
        <v>0.3858</v>
      </c>
      <c r="O13" s="191">
        <v>1.2715</v>
      </c>
      <c r="P13" s="191">
        <v>1.9503</v>
      </c>
      <c r="Q13" s="191">
        <v>0.3147</v>
      </c>
      <c r="R13" s="195">
        <v>0.3858</v>
      </c>
      <c r="S13" s="195">
        <v>1.9503</v>
      </c>
      <c r="T13" s="195">
        <v>1.9503</v>
      </c>
      <c r="U13" s="196"/>
    </row>
    <row r="14" spans="2:21" ht="12.75" customHeight="1">
      <c r="B14" s="189">
        <v>2</v>
      </c>
      <c r="C14" s="8" t="s">
        <v>56</v>
      </c>
      <c r="D14" s="190"/>
      <c r="E14" s="191">
        <v>0.2058</v>
      </c>
      <c r="F14" s="191">
        <v>0.2293</v>
      </c>
      <c r="G14" s="192"/>
      <c r="H14" s="193"/>
      <c r="I14" s="194"/>
      <c r="J14" s="195"/>
      <c r="K14" s="195"/>
      <c r="L14" s="192"/>
      <c r="M14" s="193"/>
      <c r="N14" s="191">
        <v>1.17</v>
      </c>
      <c r="O14" s="197">
        <v>1.2715</v>
      </c>
      <c r="P14" s="197">
        <v>1.9503</v>
      </c>
      <c r="Q14" s="197">
        <v>0.3147</v>
      </c>
      <c r="R14" s="197">
        <v>1.17</v>
      </c>
      <c r="S14" s="197">
        <v>1.9503</v>
      </c>
      <c r="T14" s="197">
        <v>1.9503</v>
      </c>
      <c r="U14" s="196"/>
    </row>
    <row r="15" spans="2:21" ht="13.5">
      <c r="B15" s="189">
        <v>3</v>
      </c>
      <c r="C15" s="8" t="s">
        <v>15</v>
      </c>
      <c r="D15" s="190"/>
      <c r="E15" s="191">
        <v>0.2447</v>
      </c>
      <c r="F15" s="191">
        <v>0.2929</v>
      </c>
      <c r="G15" s="192"/>
      <c r="H15" s="193"/>
      <c r="I15" s="194"/>
      <c r="J15" s="195"/>
      <c r="K15" s="195"/>
      <c r="L15" s="192"/>
      <c r="M15" s="193"/>
      <c r="N15" s="191">
        <v>0.5513</v>
      </c>
      <c r="O15" s="197">
        <v>1.2715</v>
      </c>
      <c r="P15" s="197">
        <v>1.9503</v>
      </c>
      <c r="Q15" s="197">
        <v>0.3147</v>
      </c>
      <c r="R15" s="197">
        <v>0.5513</v>
      </c>
      <c r="S15" s="197">
        <v>1.9503</v>
      </c>
      <c r="T15" s="197">
        <v>1.9503</v>
      </c>
      <c r="U15" s="196"/>
    </row>
    <row r="16" spans="2:21" ht="13.5">
      <c r="B16" s="189">
        <v>4</v>
      </c>
      <c r="C16" s="8" t="s">
        <v>59</v>
      </c>
      <c r="D16" s="190"/>
      <c r="E16" s="191">
        <v>0.3459</v>
      </c>
      <c r="F16" s="191">
        <v>0.3734</v>
      </c>
      <c r="G16" s="192"/>
      <c r="H16" s="193"/>
      <c r="I16" s="194"/>
      <c r="J16" s="195"/>
      <c r="K16" s="195"/>
      <c r="L16" s="192"/>
      <c r="M16" s="193"/>
      <c r="N16" s="191">
        <v>1.9501</v>
      </c>
      <c r="O16" s="197">
        <v>1.2715</v>
      </c>
      <c r="P16" s="197">
        <v>1.9503</v>
      </c>
      <c r="Q16" s="197">
        <v>0.3147</v>
      </c>
      <c r="R16" s="197">
        <v>1.9501</v>
      </c>
      <c r="S16" s="197">
        <v>1.9503</v>
      </c>
      <c r="T16" s="197">
        <v>1.9503</v>
      </c>
      <c r="U16" s="196"/>
    </row>
    <row r="17" spans="2:21" ht="12.75" customHeight="1">
      <c r="B17" s="189">
        <v>5</v>
      </c>
      <c r="C17" s="8" t="s">
        <v>16</v>
      </c>
      <c r="D17" s="190"/>
      <c r="E17" s="191">
        <v>0.787</v>
      </c>
      <c r="F17" s="191">
        <v>0.9923</v>
      </c>
      <c r="G17" s="192"/>
      <c r="H17" s="193"/>
      <c r="I17" s="194"/>
      <c r="J17" s="195"/>
      <c r="K17" s="195"/>
      <c r="L17" s="192"/>
      <c r="M17" s="193"/>
      <c r="N17" s="195">
        <v>1.9501</v>
      </c>
      <c r="O17" s="197">
        <v>1.2715</v>
      </c>
      <c r="P17" s="197">
        <v>1.9503</v>
      </c>
      <c r="Q17" s="197">
        <v>0.3147</v>
      </c>
      <c r="R17" s="197">
        <v>1.9501</v>
      </c>
      <c r="S17" s="197">
        <v>1.9503</v>
      </c>
      <c r="T17" s="197">
        <v>1.9503</v>
      </c>
      <c r="U17" s="196"/>
    </row>
    <row r="18" spans="2:21" ht="13.5">
      <c r="B18" s="189">
        <v>6</v>
      </c>
      <c r="C18" s="8" t="s">
        <v>17</v>
      </c>
      <c r="D18" s="190"/>
      <c r="E18" s="191">
        <v>0.306</v>
      </c>
      <c r="F18" s="191">
        <v>0.3654</v>
      </c>
      <c r="G18" s="192"/>
      <c r="H18" s="193"/>
      <c r="I18" s="194"/>
      <c r="J18" s="195"/>
      <c r="K18" s="195"/>
      <c r="L18" s="192"/>
      <c r="M18" s="193"/>
      <c r="N18" s="195">
        <v>1.9501</v>
      </c>
      <c r="O18" s="197">
        <v>1.2715</v>
      </c>
      <c r="P18" s="197">
        <v>1.9503</v>
      </c>
      <c r="Q18" s="197">
        <v>0.3147</v>
      </c>
      <c r="R18" s="197">
        <v>1.9501</v>
      </c>
      <c r="S18" s="197">
        <v>1.9503</v>
      </c>
      <c r="T18" s="197">
        <v>1.9503</v>
      </c>
      <c r="U18" s="196"/>
    </row>
    <row r="19" spans="2:21" ht="13.5">
      <c r="B19" s="189">
        <v>7</v>
      </c>
      <c r="C19" s="8" t="s">
        <v>18</v>
      </c>
      <c r="D19" s="190"/>
      <c r="E19" s="191">
        <v>0.658</v>
      </c>
      <c r="F19" s="191">
        <v>1.1083</v>
      </c>
      <c r="G19" s="192"/>
      <c r="H19" s="193"/>
      <c r="I19" s="194"/>
      <c r="J19" s="191"/>
      <c r="K19" s="191"/>
      <c r="L19" s="192"/>
      <c r="M19" s="193"/>
      <c r="N19" s="195">
        <v>1.9501</v>
      </c>
      <c r="O19" s="198">
        <v>1.2715</v>
      </c>
      <c r="P19" s="197">
        <v>1.9503</v>
      </c>
      <c r="Q19" s="197">
        <v>0.3147</v>
      </c>
      <c r="R19" s="197">
        <v>1.9501</v>
      </c>
      <c r="S19" s="197">
        <v>1.9503</v>
      </c>
      <c r="T19" s="197">
        <v>1.9503</v>
      </c>
      <c r="U19" s="196"/>
    </row>
    <row r="20" spans="2:21" ht="13.5">
      <c r="B20" s="189">
        <v>8</v>
      </c>
      <c r="C20" s="8" t="s">
        <v>19</v>
      </c>
      <c r="D20" s="199"/>
      <c r="E20" s="191">
        <v>0.7832</v>
      </c>
      <c r="F20" s="191">
        <v>1.1606</v>
      </c>
      <c r="G20" s="200"/>
      <c r="H20" s="201"/>
      <c r="I20" s="194" t="s">
        <v>4</v>
      </c>
      <c r="J20" s="191">
        <v>0.3305</v>
      </c>
      <c r="K20" s="191">
        <v>0.4353</v>
      </c>
      <c r="L20" s="200"/>
      <c r="M20" s="201"/>
      <c r="N20" s="195">
        <v>1.9501</v>
      </c>
      <c r="O20" s="198">
        <v>1.2715</v>
      </c>
      <c r="P20" s="197">
        <v>1.9503</v>
      </c>
      <c r="Q20" s="197">
        <v>0.3147</v>
      </c>
      <c r="R20" s="197">
        <v>1.9501</v>
      </c>
      <c r="S20" s="197">
        <v>1.9503</v>
      </c>
      <c r="T20" s="197">
        <v>1.9503</v>
      </c>
      <c r="U20" s="196"/>
    </row>
    <row r="21" spans="2:21" ht="13.5">
      <c r="B21" s="189">
        <v>9</v>
      </c>
      <c r="C21" s="8" t="s">
        <v>20</v>
      </c>
      <c r="D21" s="190"/>
      <c r="E21" s="191">
        <v>0.7456</v>
      </c>
      <c r="F21" s="191">
        <v>1.1142</v>
      </c>
      <c r="G21" s="192"/>
      <c r="H21" s="193"/>
      <c r="I21" s="194"/>
      <c r="J21" s="191"/>
      <c r="K21" s="191"/>
      <c r="L21" s="192"/>
      <c r="M21" s="193"/>
      <c r="N21" s="195">
        <v>1.9501</v>
      </c>
      <c r="O21" s="198">
        <v>1.2715</v>
      </c>
      <c r="P21" s="191">
        <v>0</v>
      </c>
      <c r="Q21" s="197">
        <v>0.3147</v>
      </c>
      <c r="R21" s="197">
        <v>1.9501</v>
      </c>
      <c r="S21" s="197">
        <v>0</v>
      </c>
      <c r="T21" s="197">
        <v>0</v>
      </c>
      <c r="U21" s="196"/>
    </row>
    <row r="22" spans="2:21" ht="13.5">
      <c r="B22" s="189">
        <v>10</v>
      </c>
      <c r="C22" s="8" t="s">
        <v>21</v>
      </c>
      <c r="D22" s="199"/>
      <c r="E22" s="191">
        <v>0.633</v>
      </c>
      <c r="F22" s="191">
        <v>0.9317</v>
      </c>
      <c r="G22" s="200"/>
      <c r="H22" s="201"/>
      <c r="I22" s="194"/>
      <c r="J22" s="191"/>
      <c r="K22" s="191"/>
      <c r="L22" s="200"/>
      <c r="M22" s="201"/>
      <c r="N22" s="195">
        <v>1.9501</v>
      </c>
      <c r="O22" s="198">
        <v>1.2715</v>
      </c>
      <c r="P22" s="197">
        <v>1.9503</v>
      </c>
      <c r="Q22" s="197">
        <v>0.3147</v>
      </c>
      <c r="R22" s="197">
        <v>1.9501</v>
      </c>
      <c r="S22" s="197">
        <v>1.9503</v>
      </c>
      <c r="T22" s="197">
        <v>1.9503</v>
      </c>
      <c r="U22" s="196"/>
    </row>
    <row r="23" spans="2:21" ht="13.5">
      <c r="B23" s="189">
        <v>11</v>
      </c>
      <c r="C23" s="8" t="s">
        <v>22</v>
      </c>
      <c r="D23" s="199"/>
      <c r="E23" s="191">
        <v>0.8109</v>
      </c>
      <c r="F23" s="191">
        <v>0.8109</v>
      </c>
      <c r="G23" s="200"/>
      <c r="H23" s="201"/>
      <c r="I23" s="194" t="s">
        <v>4</v>
      </c>
      <c r="J23" s="191">
        <v>0.1659</v>
      </c>
      <c r="K23" s="202" t="s">
        <v>29</v>
      </c>
      <c r="L23" s="200"/>
      <c r="M23" s="201"/>
      <c r="N23" s="195">
        <v>1.9501</v>
      </c>
      <c r="O23" s="198">
        <v>0.3096</v>
      </c>
      <c r="P23" s="198">
        <v>1.9503</v>
      </c>
      <c r="Q23" s="197">
        <v>0.3147</v>
      </c>
      <c r="R23" s="197">
        <v>1.9501</v>
      </c>
      <c r="S23" s="197">
        <v>1.9503</v>
      </c>
      <c r="T23" s="197">
        <v>1.9503</v>
      </c>
      <c r="U23" s="196"/>
    </row>
    <row r="24" spans="2:21" ht="13.5">
      <c r="B24" s="189">
        <v>13</v>
      </c>
      <c r="C24" s="8" t="s">
        <v>23</v>
      </c>
      <c r="D24" s="190"/>
      <c r="E24" s="191">
        <v>0.1659</v>
      </c>
      <c r="F24" s="191">
        <v>0.1658</v>
      </c>
      <c r="G24" s="192"/>
      <c r="H24" s="193"/>
      <c r="I24" s="194"/>
      <c r="J24" s="191"/>
      <c r="K24" s="191"/>
      <c r="L24" s="192"/>
      <c r="M24" s="193"/>
      <c r="N24" s="195">
        <v>1.9501</v>
      </c>
      <c r="O24" s="198">
        <v>1.2715</v>
      </c>
      <c r="P24" s="191">
        <v>0.6998</v>
      </c>
      <c r="Q24" s="197">
        <v>0.3147</v>
      </c>
      <c r="R24" s="197">
        <v>1.9501</v>
      </c>
      <c r="S24" s="197">
        <v>0.6998</v>
      </c>
      <c r="T24" s="197">
        <v>0.6998</v>
      </c>
      <c r="U24" s="196"/>
    </row>
    <row r="25" spans="2:21" ht="13.5">
      <c r="B25" s="189">
        <v>17</v>
      </c>
      <c r="C25" s="8" t="s">
        <v>24</v>
      </c>
      <c r="D25" s="199"/>
      <c r="E25" s="191">
        <v>0.8839</v>
      </c>
      <c r="F25" s="191">
        <v>1.5029</v>
      </c>
      <c r="G25" s="200"/>
      <c r="H25" s="201"/>
      <c r="I25" s="194" t="s">
        <v>4</v>
      </c>
      <c r="J25" s="191">
        <v>0.1922</v>
      </c>
      <c r="K25" s="191">
        <v>0.2157</v>
      </c>
      <c r="L25" s="200"/>
      <c r="M25" s="201"/>
      <c r="N25" s="195">
        <v>1.9501</v>
      </c>
      <c r="O25" s="197">
        <v>1.2715</v>
      </c>
      <c r="P25" s="198">
        <v>1.9503</v>
      </c>
      <c r="Q25" s="197">
        <v>0.3147</v>
      </c>
      <c r="R25" s="197">
        <v>1.9501</v>
      </c>
      <c r="S25" s="197">
        <v>1.9503</v>
      </c>
      <c r="T25" s="197">
        <v>1.9503</v>
      </c>
      <c r="U25" s="196"/>
    </row>
    <row r="26" spans="2:21" ht="12.75" customHeight="1">
      <c r="B26" s="189">
        <v>18</v>
      </c>
      <c r="C26" s="8" t="s">
        <v>25</v>
      </c>
      <c r="D26" s="190"/>
      <c r="E26" s="191">
        <v>0.2024</v>
      </c>
      <c r="F26" s="191">
        <v>0.2102</v>
      </c>
      <c r="G26" s="192"/>
      <c r="H26" s="193"/>
      <c r="I26" s="194"/>
      <c r="J26" s="191"/>
      <c r="K26" s="191"/>
      <c r="L26" s="192"/>
      <c r="M26" s="193"/>
      <c r="N26" s="197">
        <v>0.5513</v>
      </c>
      <c r="O26" s="197">
        <v>1.2715</v>
      </c>
      <c r="P26" s="198">
        <v>1.9503</v>
      </c>
      <c r="Q26" s="197">
        <v>0.3147</v>
      </c>
      <c r="R26" s="197">
        <v>0.5513</v>
      </c>
      <c r="S26" s="197">
        <v>1.9503</v>
      </c>
      <c r="T26" s="197">
        <v>1.9503</v>
      </c>
      <c r="U26" s="196"/>
    </row>
    <row r="27" spans="2:21" ht="12.75" customHeight="1">
      <c r="B27" s="189">
        <v>19</v>
      </c>
      <c r="C27" s="8" t="s">
        <v>28</v>
      </c>
      <c r="D27" s="203"/>
      <c r="E27" s="191">
        <v>0.839</v>
      </c>
      <c r="F27" s="202" t="s">
        <v>29</v>
      </c>
      <c r="G27" s="204"/>
      <c r="H27" s="193"/>
      <c r="I27" s="194"/>
      <c r="J27" s="191"/>
      <c r="K27" s="191"/>
      <c r="L27" s="204"/>
      <c r="M27" s="193"/>
      <c r="N27" s="195">
        <v>1.9501</v>
      </c>
      <c r="O27" s="197">
        <v>1.2715</v>
      </c>
      <c r="P27" s="198">
        <v>1.9503</v>
      </c>
      <c r="Q27" s="197">
        <v>0.3147</v>
      </c>
      <c r="R27" s="197">
        <v>1.9501</v>
      </c>
      <c r="S27" s="197">
        <v>1.9503</v>
      </c>
      <c r="T27" s="197">
        <v>1.9503</v>
      </c>
      <c r="U27" s="196"/>
    </row>
    <row r="28" spans="2:21" ht="12.75" customHeight="1">
      <c r="B28" s="189">
        <v>20</v>
      </c>
      <c r="C28" s="8" t="s">
        <v>57</v>
      </c>
      <c r="D28" s="199"/>
      <c r="E28" s="191">
        <v>0.3459</v>
      </c>
      <c r="F28" s="191">
        <v>0.3734</v>
      </c>
      <c r="G28" s="200"/>
      <c r="H28" s="201"/>
      <c r="I28" s="194" t="s">
        <v>5</v>
      </c>
      <c r="J28" s="191">
        <v>0.1855</v>
      </c>
      <c r="K28" s="191">
        <v>0.2084</v>
      </c>
      <c r="L28" s="200"/>
      <c r="M28" s="201"/>
      <c r="N28" s="195">
        <v>1.9501</v>
      </c>
      <c r="O28" s="197">
        <v>1.2715</v>
      </c>
      <c r="P28" s="198">
        <v>1.9503</v>
      </c>
      <c r="Q28" s="197">
        <v>0.3147</v>
      </c>
      <c r="R28" s="197">
        <v>1.9501</v>
      </c>
      <c r="S28" s="197">
        <v>1.9503</v>
      </c>
      <c r="T28" s="197">
        <v>1.9503</v>
      </c>
      <c r="U28" s="196"/>
    </row>
    <row r="29" spans="2:21" ht="13.5">
      <c r="B29" s="189">
        <v>21</v>
      </c>
      <c r="C29" s="8" t="s">
        <v>26</v>
      </c>
      <c r="D29" s="203"/>
      <c r="E29" s="191">
        <v>0.1128</v>
      </c>
      <c r="F29" s="191">
        <v>0.19</v>
      </c>
      <c r="G29" s="204"/>
      <c r="H29" s="193"/>
      <c r="I29" s="194"/>
      <c r="J29" s="191"/>
      <c r="K29" s="191"/>
      <c r="L29" s="204"/>
      <c r="M29" s="193"/>
      <c r="N29" s="195">
        <v>1.9501</v>
      </c>
      <c r="O29" s="197">
        <v>1.2715</v>
      </c>
      <c r="P29" s="195">
        <v>0</v>
      </c>
      <c r="Q29" s="197">
        <v>0.3147</v>
      </c>
      <c r="R29" s="197">
        <v>1.9501</v>
      </c>
      <c r="S29" s="197">
        <v>0</v>
      </c>
      <c r="T29" s="197">
        <v>0</v>
      </c>
      <c r="U29" s="196"/>
    </row>
    <row r="30" spans="2:21" ht="12.75" customHeight="1">
      <c r="B30" s="189">
        <v>22</v>
      </c>
      <c r="C30" s="8" t="s">
        <v>27</v>
      </c>
      <c r="D30" s="203"/>
      <c r="E30" s="191">
        <v>0.2376</v>
      </c>
      <c r="F30" s="191">
        <v>0.7127</v>
      </c>
      <c r="G30" s="204"/>
      <c r="H30" s="193"/>
      <c r="I30" s="194"/>
      <c r="J30" s="191"/>
      <c r="K30" s="191"/>
      <c r="L30" s="204"/>
      <c r="M30" s="193"/>
      <c r="N30" s="195">
        <v>1.9501</v>
      </c>
      <c r="O30" s="197">
        <v>1.2715</v>
      </c>
      <c r="P30" s="195">
        <v>0</v>
      </c>
      <c r="Q30" s="197">
        <v>0.3147</v>
      </c>
      <c r="R30" s="197">
        <v>1.9501</v>
      </c>
      <c r="S30" s="197">
        <v>0</v>
      </c>
      <c r="T30" s="197">
        <v>0</v>
      </c>
      <c r="U30" s="196"/>
    </row>
    <row r="31" spans="2:21" ht="12.75" customHeight="1">
      <c r="B31" s="189">
        <v>23</v>
      </c>
      <c r="C31" s="8" t="s">
        <v>89</v>
      </c>
      <c r="D31" s="203"/>
      <c r="E31" s="191">
        <v>0.0575</v>
      </c>
      <c r="F31" s="202" t="s">
        <v>29</v>
      </c>
      <c r="G31" s="204"/>
      <c r="H31" s="193"/>
      <c r="I31" s="194"/>
      <c r="J31" s="195"/>
      <c r="K31" s="195"/>
      <c r="L31" s="204"/>
      <c r="M31" s="193"/>
      <c r="N31" s="195">
        <v>1.9501</v>
      </c>
      <c r="O31" s="197">
        <v>1.2715</v>
      </c>
      <c r="P31" s="197">
        <v>1.9503</v>
      </c>
      <c r="Q31" s="197">
        <v>0.3147</v>
      </c>
      <c r="R31" s="197">
        <v>1.9501</v>
      </c>
      <c r="S31" s="197">
        <v>1.9503</v>
      </c>
      <c r="T31" s="197">
        <v>1.9503</v>
      </c>
      <c r="U31" s="196"/>
    </row>
    <row r="32" spans="2:21" ht="12.75" customHeight="1">
      <c r="B32" s="189">
        <v>24</v>
      </c>
      <c r="C32" s="8" t="s">
        <v>98</v>
      </c>
      <c r="D32" s="203"/>
      <c r="E32" s="191">
        <v>0.2532</v>
      </c>
      <c r="F32" s="191">
        <v>0.303</v>
      </c>
      <c r="G32" s="204"/>
      <c r="H32" s="193"/>
      <c r="I32" s="194"/>
      <c r="J32" s="195"/>
      <c r="K32" s="195"/>
      <c r="L32" s="204"/>
      <c r="M32" s="193"/>
      <c r="N32" s="195">
        <v>1.9501</v>
      </c>
      <c r="O32" s="197">
        <v>1.2715</v>
      </c>
      <c r="P32" s="197">
        <v>1.9503</v>
      </c>
      <c r="Q32" s="197">
        <v>0.3147</v>
      </c>
      <c r="R32" s="197">
        <v>1.9501</v>
      </c>
      <c r="S32" s="197">
        <v>1.9503</v>
      </c>
      <c r="T32" s="197">
        <v>1.9503</v>
      </c>
      <c r="U32" s="196"/>
    </row>
    <row r="33" spans="2:21" ht="12.75" customHeight="1">
      <c r="B33" s="189">
        <v>25</v>
      </c>
      <c r="C33" s="8" t="s">
        <v>99</v>
      </c>
      <c r="D33" s="203"/>
      <c r="E33" s="191">
        <v>0.064</v>
      </c>
      <c r="F33" s="202" t="s">
        <v>29</v>
      </c>
      <c r="G33" s="204"/>
      <c r="H33" s="193"/>
      <c r="I33" s="194"/>
      <c r="J33" s="195"/>
      <c r="K33" s="202"/>
      <c r="L33" s="204"/>
      <c r="M33" s="193"/>
      <c r="N33" s="197">
        <v>0.3858</v>
      </c>
      <c r="O33" s="197">
        <v>1.2715</v>
      </c>
      <c r="P33" s="197">
        <v>1.9503</v>
      </c>
      <c r="Q33" s="197">
        <v>0.3147</v>
      </c>
      <c r="R33" s="197">
        <v>0.3858</v>
      </c>
      <c r="S33" s="197">
        <v>1.9503</v>
      </c>
      <c r="T33" s="197">
        <v>1.9503</v>
      </c>
      <c r="U33" s="196"/>
    </row>
    <row r="34" spans="2:21" ht="12.75" customHeight="1">
      <c r="B34" s="189">
        <v>31</v>
      </c>
      <c r="C34" s="8" t="s">
        <v>87</v>
      </c>
      <c r="D34" s="203"/>
      <c r="E34" s="198">
        <v>0</v>
      </c>
      <c r="F34" s="202" t="s">
        <v>29</v>
      </c>
      <c r="G34" s="204"/>
      <c r="H34" s="193"/>
      <c r="I34" s="194" t="s">
        <v>68</v>
      </c>
      <c r="J34" s="195">
        <v>0</v>
      </c>
      <c r="K34" s="202" t="s">
        <v>29</v>
      </c>
      <c r="L34" s="204"/>
      <c r="M34" s="193"/>
      <c r="N34" s="197">
        <v>0.3858</v>
      </c>
      <c r="O34" s="197">
        <v>1.2715</v>
      </c>
      <c r="P34" s="197">
        <v>1.9503</v>
      </c>
      <c r="Q34" s="197">
        <v>0.3147</v>
      </c>
      <c r="R34" s="197">
        <v>0.3858</v>
      </c>
      <c r="S34" s="197">
        <v>1.9503</v>
      </c>
      <c r="T34" s="197">
        <v>1.9503</v>
      </c>
      <c r="U34" s="196"/>
    </row>
    <row r="35" spans="2:21" ht="12.75" customHeight="1">
      <c r="B35" s="189">
        <v>32</v>
      </c>
      <c r="C35" s="8" t="s">
        <v>90</v>
      </c>
      <c r="D35" s="203"/>
      <c r="E35" s="191">
        <v>0.0843</v>
      </c>
      <c r="F35" s="202" t="s">
        <v>29</v>
      </c>
      <c r="G35" s="204"/>
      <c r="H35" s="193"/>
      <c r="I35" s="194"/>
      <c r="J35" s="195"/>
      <c r="K35" s="195"/>
      <c r="L35" s="204"/>
      <c r="M35" s="193"/>
      <c r="N35" s="195">
        <v>1.9501</v>
      </c>
      <c r="O35" s="197">
        <v>1.2715</v>
      </c>
      <c r="P35" s="197">
        <v>1.9503</v>
      </c>
      <c r="Q35" s="197">
        <v>0.3147</v>
      </c>
      <c r="R35" s="197">
        <v>1.9501</v>
      </c>
      <c r="S35" s="197">
        <v>1.9503</v>
      </c>
      <c r="T35" s="197">
        <v>1.9503</v>
      </c>
      <c r="U35" s="196"/>
    </row>
    <row r="36" spans="2:21" ht="12.75" customHeight="1">
      <c r="B36" s="189">
        <v>33</v>
      </c>
      <c r="C36" s="8" t="s">
        <v>88</v>
      </c>
      <c r="D36" s="203"/>
      <c r="E36" s="191">
        <v>0.023</v>
      </c>
      <c r="F36" s="202" t="s">
        <v>29</v>
      </c>
      <c r="G36" s="204"/>
      <c r="H36" s="193"/>
      <c r="I36" s="194" t="s">
        <v>91</v>
      </c>
      <c r="J36" s="195">
        <v>0</v>
      </c>
      <c r="K36" s="202" t="s">
        <v>29</v>
      </c>
      <c r="L36" s="204"/>
      <c r="M36" s="193"/>
      <c r="N36" s="195">
        <v>1.9501</v>
      </c>
      <c r="O36" s="197">
        <v>1.2715</v>
      </c>
      <c r="P36" s="195">
        <v>0</v>
      </c>
      <c r="Q36" s="197">
        <v>0.3147</v>
      </c>
      <c r="R36" s="197">
        <v>1.9501</v>
      </c>
      <c r="S36" s="197">
        <v>0</v>
      </c>
      <c r="T36" s="197">
        <v>0</v>
      </c>
      <c r="U36" s="196"/>
    </row>
    <row r="37" spans="2:21" ht="12.75" customHeight="1">
      <c r="B37" s="189">
        <v>34</v>
      </c>
      <c r="C37" s="8" t="s">
        <v>101</v>
      </c>
      <c r="D37" s="203"/>
      <c r="E37" s="191">
        <v>0.023</v>
      </c>
      <c r="F37" s="202" t="s">
        <v>29</v>
      </c>
      <c r="G37" s="204"/>
      <c r="H37" s="193"/>
      <c r="I37" s="194" t="s">
        <v>91</v>
      </c>
      <c r="J37" s="195">
        <v>0</v>
      </c>
      <c r="K37" s="202" t="s">
        <v>29</v>
      </c>
      <c r="L37" s="204"/>
      <c r="M37" s="193"/>
      <c r="N37" s="195">
        <v>1.9501</v>
      </c>
      <c r="O37" s="197">
        <v>1.2715</v>
      </c>
      <c r="P37" s="195">
        <v>0</v>
      </c>
      <c r="Q37" s="197">
        <v>0.3147</v>
      </c>
      <c r="R37" s="197">
        <v>1.9501</v>
      </c>
      <c r="S37" s="197">
        <v>0</v>
      </c>
      <c r="T37" s="197">
        <v>0</v>
      </c>
      <c r="U37" s="196"/>
    </row>
    <row r="38" spans="2:21" ht="12.75" customHeight="1" thickBot="1">
      <c r="B38" s="181"/>
      <c r="D38" s="205"/>
      <c r="E38" s="206"/>
      <c r="F38" s="206"/>
      <c r="G38" s="207"/>
      <c r="H38" s="208"/>
      <c r="I38" s="206"/>
      <c r="J38" s="206"/>
      <c r="K38" s="206"/>
      <c r="L38" s="207"/>
      <c r="M38" s="208"/>
      <c r="N38" s="206"/>
      <c r="O38" s="206"/>
      <c r="P38" s="206"/>
      <c r="Q38" s="206"/>
      <c r="R38" s="206"/>
      <c r="S38" s="206"/>
      <c r="T38" s="206"/>
      <c r="U38" s="209"/>
    </row>
    <row r="39" spans="1:22" s="10" customFormat="1" ht="12.75" customHeight="1">
      <c r="A39" s="8"/>
      <c r="B39" s="181"/>
      <c r="C39" s="8"/>
      <c r="D39" s="8"/>
      <c r="E39" s="8"/>
      <c r="F39" s="8"/>
      <c r="G39" s="8"/>
      <c r="H39" s="8"/>
      <c r="I39" s="8"/>
      <c r="J39" s="8"/>
      <c r="K39" s="8"/>
      <c r="L39" s="8"/>
      <c r="M39" s="8"/>
      <c r="N39" s="8"/>
      <c r="O39" s="8"/>
      <c r="P39" s="8"/>
      <c r="Q39" s="8"/>
      <c r="R39" s="8"/>
      <c r="S39" s="8"/>
      <c r="T39" s="8"/>
      <c r="U39" s="8"/>
      <c r="V39" s="8"/>
    </row>
    <row r="40" spans="1:22" s="10" customFormat="1" ht="17.25">
      <c r="A40" s="8"/>
      <c r="B40" s="210" t="s">
        <v>102</v>
      </c>
      <c r="C40" s="8"/>
      <c r="D40" s="8"/>
      <c r="E40" s="211">
        <v>0.1808</v>
      </c>
      <c r="F40" s="211">
        <v>0.2046</v>
      </c>
      <c r="G40" s="8"/>
      <c r="H40" s="8"/>
      <c r="I40" s="8"/>
      <c r="J40" s="8"/>
      <c r="K40" s="8"/>
      <c r="L40" s="8"/>
      <c r="M40" s="212" t="s">
        <v>107</v>
      </c>
      <c r="N40" s="212"/>
      <c r="O40" s="213"/>
      <c r="P40" s="214"/>
      <c r="Q40" s="212"/>
      <c r="R40" s="212"/>
      <c r="S40" s="214"/>
      <c r="T40" s="215">
        <v>0</v>
      </c>
      <c r="U40" s="216"/>
      <c r="V40" s="8"/>
    </row>
    <row r="41" spans="2:19" ht="17.25">
      <c r="B41" s="10"/>
      <c r="C41" s="10"/>
      <c r="D41" s="10"/>
      <c r="E41" s="10"/>
      <c r="F41" s="10"/>
      <c r="G41" s="10"/>
      <c r="H41" s="10"/>
      <c r="I41" s="10"/>
      <c r="J41" s="10"/>
      <c r="M41" s="212" t="s">
        <v>108</v>
      </c>
      <c r="N41" s="212"/>
      <c r="O41" s="212"/>
      <c r="P41" s="212"/>
      <c r="Q41" s="212"/>
      <c r="R41" s="212"/>
      <c r="S41" s="212"/>
    </row>
    <row r="42" spans="2:11" ht="17.25">
      <c r="B42" s="10"/>
      <c r="C42" s="10"/>
      <c r="D42" s="10"/>
      <c r="E42" s="10"/>
      <c r="F42" s="10"/>
      <c r="G42" s="10"/>
      <c r="H42" s="10"/>
      <c r="I42" s="10"/>
      <c r="J42" s="10"/>
      <c r="K42" s="10"/>
    </row>
    <row r="43" ht="13.5"/>
    <row r="44" ht="13.5"/>
    <row r="45" ht="13.5"/>
    <row r="46" spans="2:22" ht="17.25">
      <c r="B46" s="10"/>
      <c r="C46" s="10"/>
      <c r="D46" s="10"/>
      <c r="E46" s="10"/>
      <c r="F46" s="10"/>
      <c r="G46" s="10"/>
      <c r="H46" s="10"/>
      <c r="I46" s="10"/>
      <c r="J46" s="10"/>
      <c r="K46" s="10"/>
      <c r="L46" s="10"/>
      <c r="M46" s="10"/>
      <c r="N46" s="10"/>
      <c r="O46" s="10"/>
      <c r="P46" s="10"/>
      <c r="Q46" s="10"/>
      <c r="R46" s="10"/>
      <c r="S46" s="10"/>
      <c r="T46" s="10"/>
      <c r="U46" s="10"/>
      <c r="V46" s="10"/>
    </row>
    <row r="47" spans="1:22" ht="17.25">
      <c r="A47" s="10"/>
      <c r="B47" s="10"/>
      <c r="C47" s="10"/>
      <c r="D47" s="10"/>
      <c r="E47" s="10"/>
      <c r="F47" s="10"/>
      <c r="G47" s="10"/>
      <c r="H47" s="10"/>
      <c r="I47" s="10"/>
      <c r="J47" s="10"/>
      <c r="K47" s="10"/>
      <c r="L47" s="10"/>
      <c r="M47" s="10"/>
      <c r="N47" s="10"/>
      <c r="O47" s="10"/>
      <c r="P47" s="10"/>
      <c r="Q47" s="10"/>
      <c r="R47" s="10"/>
      <c r="S47" s="10"/>
      <c r="T47" s="10"/>
      <c r="U47" s="10"/>
      <c r="V47" s="10"/>
    </row>
    <row r="48" spans="1:22" ht="17.25">
      <c r="A48" s="10"/>
      <c r="B48" s="10"/>
      <c r="C48" s="10"/>
      <c r="D48" s="10"/>
      <c r="E48" s="10"/>
      <c r="F48" s="10"/>
      <c r="G48" s="10"/>
      <c r="H48" s="10"/>
      <c r="I48" s="10"/>
      <c r="J48" s="10"/>
      <c r="K48" s="10"/>
      <c r="L48" s="10"/>
      <c r="M48" s="10"/>
      <c r="N48" s="10"/>
      <c r="O48" s="10"/>
      <c r="P48" s="10"/>
      <c r="Q48" s="10"/>
      <c r="R48" s="10"/>
      <c r="S48" s="10"/>
      <c r="T48" s="10"/>
      <c r="U48" s="10"/>
      <c r="V48" s="10"/>
    </row>
    <row r="49" spans="1:22" ht="17.25">
      <c r="A49" s="10"/>
      <c r="B49" s="10"/>
      <c r="C49" s="10"/>
      <c r="D49" s="10"/>
      <c r="E49" s="10"/>
      <c r="F49" s="10"/>
      <c r="G49" s="10"/>
      <c r="H49" s="10"/>
      <c r="I49" s="10"/>
      <c r="J49" s="10"/>
      <c r="K49" s="10"/>
      <c r="L49" s="10"/>
      <c r="M49" s="10"/>
      <c r="N49" s="10"/>
      <c r="O49" s="10"/>
      <c r="P49" s="10"/>
      <c r="Q49" s="10"/>
      <c r="R49" s="10"/>
      <c r="S49" s="10"/>
      <c r="T49" s="10"/>
      <c r="U49" s="10"/>
      <c r="V49" s="10"/>
    </row>
    <row r="50" spans="1:22" ht="17.25">
      <c r="A50" s="10"/>
      <c r="B50" s="10"/>
      <c r="C50" s="10"/>
      <c r="D50" s="10"/>
      <c r="E50" s="10"/>
      <c r="F50" s="10"/>
      <c r="G50" s="10"/>
      <c r="H50" s="10"/>
      <c r="I50" s="10"/>
      <c r="J50" s="10"/>
      <c r="K50" s="10"/>
      <c r="L50" s="10"/>
      <c r="M50" s="10"/>
      <c r="N50" s="10"/>
      <c r="O50" s="10"/>
      <c r="P50" s="10"/>
      <c r="Q50" s="10"/>
      <c r="R50" s="10"/>
      <c r="S50" s="10"/>
      <c r="T50" s="10"/>
      <c r="U50" s="10"/>
      <c r="V50" s="10"/>
    </row>
    <row r="51" spans="1:22" ht="17.25">
      <c r="A51" s="10"/>
      <c r="B51" s="10"/>
      <c r="C51" s="10"/>
      <c r="D51" s="10"/>
      <c r="E51" s="10"/>
      <c r="F51" s="10"/>
      <c r="G51" s="10"/>
      <c r="H51" s="10"/>
      <c r="I51" s="10"/>
      <c r="J51" s="10"/>
      <c r="K51" s="10"/>
      <c r="L51" s="10"/>
      <c r="M51" s="10"/>
      <c r="N51" s="10"/>
      <c r="O51" s="10"/>
      <c r="P51" s="10"/>
      <c r="Q51" s="10"/>
      <c r="R51" s="10"/>
      <c r="S51" s="10"/>
      <c r="T51" s="10"/>
      <c r="U51" s="10"/>
      <c r="V51" s="10"/>
    </row>
    <row r="52" spans="1:22" ht="17.25">
      <c r="A52" s="10"/>
      <c r="B52" s="10"/>
      <c r="C52" s="10"/>
      <c r="D52" s="10"/>
      <c r="E52" s="10"/>
      <c r="F52" s="10"/>
      <c r="G52" s="10"/>
      <c r="H52" s="10"/>
      <c r="I52" s="10"/>
      <c r="J52" s="10"/>
      <c r="K52" s="10"/>
      <c r="L52" s="10"/>
      <c r="M52" s="10"/>
      <c r="N52" s="10"/>
      <c r="O52" s="10"/>
      <c r="P52" s="10"/>
      <c r="Q52" s="10"/>
      <c r="R52" s="10"/>
      <c r="S52" s="10"/>
      <c r="T52" s="10"/>
      <c r="U52" s="10"/>
      <c r="V52" s="10"/>
    </row>
    <row r="53" spans="1:22" ht="17.25">
      <c r="A53" s="10"/>
      <c r="B53" s="10"/>
      <c r="C53" s="10"/>
      <c r="D53" s="10"/>
      <c r="E53" s="10"/>
      <c r="F53" s="10"/>
      <c r="G53" s="10"/>
      <c r="H53" s="10"/>
      <c r="I53" s="10"/>
      <c r="J53" s="10"/>
      <c r="K53" s="10"/>
      <c r="L53" s="10"/>
      <c r="M53" s="10"/>
      <c r="N53" s="10"/>
      <c r="O53" s="10"/>
      <c r="P53" s="10"/>
      <c r="Q53" s="10"/>
      <c r="R53" s="10"/>
      <c r="S53" s="10"/>
      <c r="T53" s="10"/>
      <c r="U53" s="10"/>
      <c r="V53" s="10"/>
    </row>
    <row r="54" spans="1:22" ht="17.25">
      <c r="A54" s="10"/>
      <c r="B54" s="10"/>
      <c r="C54" s="10"/>
      <c r="D54" s="10"/>
      <c r="E54" s="10"/>
      <c r="F54" s="10"/>
      <c r="G54" s="10"/>
      <c r="H54" s="10"/>
      <c r="I54" s="10"/>
      <c r="J54" s="10"/>
      <c r="K54" s="10"/>
      <c r="L54" s="10"/>
      <c r="M54" s="10"/>
      <c r="N54" s="10"/>
      <c r="O54" s="10"/>
      <c r="P54" s="10"/>
      <c r="Q54" s="10"/>
      <c r="R54" s="10"/>
      <c r="S54" s="10"/>
      <c r="T54" s="10"/>
      <c r="U54" s="10"/>
      <c r="V54" s="10"/>
    </row>
    <row r="55" spans="1:22" ht="17.25">
      <c r="A55" s="10"/>
      <c r="B55" s="10"/>
      <c r="C55" s="10"/>
      <c r="D55" s="10"/>
      <c r="E55" s="10"/>
      <c r="F55" s="10"/>
      <c r="G55" s="10"/>
      <c r="H55" s="10"/>
      <c r="I55" s="10"/>
      <c r="J55" s="10"/>
      <c r="K55" s="10"/>
      <c r="L55" s="10"/>
      <c r="M55" s="10"/>
      <c r="N55" s="10"/>
      <c r="O55" s="10"/>
      <c r="P55" s="10"/>
      <c r="Q55" s="10"/>
      <c r="R55" s="10"/>
      <c r="S55" s="10"/>
      <c r="T55" s="10"/>
      <c r="U55" s="10"/>
      <c r="V55" s="10"/>
    </row>
    <row r="56" spans="1:22" ht="17.25">
      <c r="A56" s="10"/>
      <c r="B56" s="10"/>
      <c r="C56" s="10"/>
      <c r="D56" s="10"/>
      <c r="E56" s="10"/>
      <c r="F56" s="10"/>
      <c r="G56" s="10"/>
      <c r="H56" s="10"/>
      <c r="I56" s="10"/>
      <c r="J56" s="10"/>
      <c r="K56" s="10"/>
      <c r="L56" s="10"/>
      <c r="M56" s="10"/>
      <c r="N56" s="10"/>
      <c r="O56" s="10"/>
      <c r="P56" s="10"/>
      <c r="Q56" s="10"/>
      <c r="R56" s="10"/>
      <c r="S56" s="10"/>
      <c r="T56" s="10"/>
      <c r="U56" s="10"/>
      <c r="V56" s="10"/>
    </row>
    <row r="57" spans="1:22" ht="17.25">
      <c r="A57" s="10"/>
      <c r="B57" s="10"/>
      <c r="C57" s="10"/>
      <c r="D57" s="10"/>
      <c r="E57" s="10"/>
      <c r="F57" s="10"/>
      <c r="G57" s="10"/>
      <c r="H57" s="10"/>
      <c r="I57" s="10"/>
      <c r="J57" s="10"/>
      <c r="K57" s="10"/>
      <c r="L57" s="10"/>
      <c r="M57" s="10"/>
      <c r="N57" s="10"/>
      <c r="O57" s="10"/>
      <c r="P57" s="10"/>
      <c r="Q57" s="10"/>
      <c r="R57" s="10"/>
      <c r="S57" s="10"/>
      <c r="T57" s="10"/>
      <c r="U57" s="10"/>
      <c r="V57" s="10"/>
    </row>
    <row r="58" spans="1:22" ht="17.25">
      <c r="A58" s="10"/>
      <c r="B58" s="10"/>
      <c r="C58" s="10"/>
      <c r="D58" s="10"/>
      <c r="E58" s="10"/>
      <c r="F58" s="10"/>
      <c r="G58" s="10"/>
      <c r="H58" s="10"/>
      <c r="I58" s="10"/>
      <c r="J58" s="10"/>
      <c r="K58" s="10"/>
      <c r="L58" s="10"/>
      <c r="M58" s="10"/>
      <c r="N58" s="10"/>
      <c r="O58" s="10"/>
      <c r="P58" s="10"/>
      <c r="Q58" s="10"/>
      <c r="R58" s="10"/>
      <c r="S58" s="10"/>
      <c r="T58" s="10"/>
      <c r="U58" s="10"/>
      <c r="V58" s="10"/>
    </row>
    <row r="59" spans="1:22" ht="17.25">
      <c r="A59" s="10"/>
      <c r="B59" s="10"/>
      <c r="C59" s="10"/>
      <c r="D59" s="10"/>
      <c r="E59" s="10"/>
      <c r="F59" s="10"/>
      <c r="G59" s="10"/>
      <c r="H59" s="10"/>
      <c r="I59" s="10"/>
      <c r="J59" s="10"/>
      <c r="K59" s="10"/>
      <c r="L59" s="10"/>
      <c r="M59" s="10"/>
      <c r="N59" s="10"/>
      <c r="O59" s="10"/>
      <c r="P59" s="10"/>
      <c r="Q59" s="10"/>
      <c r="R59" s="10"/>
      <c r="S59" s="10"/>
      <c r="T59" s="10"/>
      <c r="U59" s="10"/>
      <c r="V59" s="10"/>
    </row>
    <row r="60" spans="1:22" ht="17.25">
      <c r="A60" s="10"/>
      <c r="B60" s="10"/>
      <c r="C60" s="10"/>
      <c r="D60" s="10"/>
      <c r="E60" s="10"/>
      <c r="F60" s="10"/>
      <c r="G60" s="10"/>
      <c r="H60" s="10"/>
      <c r="I60" s="10"/>
      <c r="J60" s="10"/>
      <c r="K60" s="10"/>
      <c r="L60" s="10"/>
      <c r="M60" s="10"/>
      <c r="N60" s="10"/>
      <c r="O60" s="10"/>
      <c r="P60" s="10"/>
      <c r="Q60" s="10"/>
      <c r="R60" s="10"/>
      <c r="S60" s="10"/>
      <c r="T60" s="10"/>
      <c r="U60" s="10"/>
      <c r="V60" s="10"/>
    </row>
    <row r="61" spans="1:22" ht="17.25">
      <c r="A61" s="10"/>
      <c r="B61" s="10"/>
      <c r="C61" s="10"/>
      <c r="D61" s="10"/>
      <c r="E61" s="10"/>
      <c r="F61" s="10"/>
      <c r="G61" s="10"/>
      <c r="H61" s="10"/>
      <c r="I61" s="10"/>
      <c r="J61" s="10"/>
      <c r="K61" s="10"/>
      <c r="L61" s="10"/>
      <c r="M61" s="10"/>
      <c r="N61" s="10"/>
      <c r="O61" s="10"/>
      <c r="P61" s="10"/>
      <c r="Q61" s="10"/>
      <c r="R61" s="10"/>
      <c r="S61" s="10"/>
      <c r="T61" s="10"/>
      <c r="U61" s="10"/>
      <c r="V61" s="10"/>
    </row>
    <row r="62" spans="1:22" ht="17.25">
      <c r="A62" s="10"/>
      <c r="B62" s="10"/>
      <c r="C62" s="10"/>
      <c r="D62" s="10"/>
      <c r="E62" s="10"/>
      <c r="F62" s="10"/>
      <c r="G62" s="10"/>
      <c r="H62" s="10"/>
      <c r="I62" s="10"/>
      <c r="J62" s="10"/>
      <c r="K62" s="10"/>
      <c r="L62" s="10"/>
      <c r="M62" s="10"/>
      <c r="N62" s="10"/>
      <c r="O62" s="10"/>
      <c r="P62" s="10"/>
      <c r="Q62" s="10"/>
      <c r="R62" s="10"/>
      <c r="S62" s="10"/>
      <c r="T62" s="10"/>
      <c r="U62" s="10"/>
      <c r="V62" s="10"/>
    </row>
    <row r="63" spans="1:22" ht="17.25">
      <c r="A63" s="10"/>
      <c r="B63" s="10"/>
      <c r="C63" s="10"/>
      <c r="D63" s="10"/>
      <c r="E63" s="10"/>
      <c r="F63" s="10"/>
      <c r="G63" s="10"/>
      <c r="H63" s="10"/>
      <c r="I63" s="10"/>
      <c r="J63" s="10"/>
      <c r="K63" s="10"/>
      <c r="L63" s="10"/>
      <c r="M63" s="10"/>
      <c r="N63" s="10"/>
      <c r="O63" s="10"/>
      <c r="P63" s="10"/>
      <c r="Q63" s="10"/>
      <c r="R63" s="10"/>
      <c r="S63" s="10"/>
      <c r="T63" s="10"/>
      <c r="U63" s="10"/>
      <c r="V63" s="10"/>
    </row>
    <row r="64" spans="1:22" ht="17.25">
      <c r="A64" s="10"/>
      <c r="B64" s="10"/>
      <c r="C64" s="10"/>
      <c r="D64" s="10"/>
      <c r="E64" s="10"/>
      <c r="F64" s="10"/>
      <c r="G64" s="10"/>
      <c r="H64" s="10"/>
      <c r="I64" s="10"/>
      <c r="J64" s="10"/>
      <c r="K64" s="10"/>
      <c r="L64" s="10"/>
      <c r="M64" s="10"/>
      <c r="N64" s="10"/>
      <c r="O64" s="10"/>
      <c r="P64" s="10"/>
      <c r="Q64" s="10"/>
      <c r="R64" s="10"/>
      <c r="S64" s="10"/>
      <c r="T64" s="10"/>
      <c r="U64" s="10"/>
      <c r="V64" s="10"/>
    </row>
    <row r="65" spans="1:22" ht="17.25">
      <c r="A65" s="10"/>
      <c r="B65" s="10"/>
      <c r="C65" s="10"/>
      <c r="D65" s="10"/>
      <c r="E65" s="10"/>
      <c r="F65" s="10"/>
      <c r="G65" s="10"/>
      <c r="H65" s="10"/>
      <c r="I65" s="10"/>
      <c r="J65" s="10"/>
      <c r="K65" s="10"/>
      <c r="L65" s="10"/>
      <c r="M65" s="10"/>
      <c r="N65" s="10"/>
      <c r="O65" s="10"/>
      <c r="P65" s="10"/>
      <c r="Q65" s="10"/>
      <c r="R65" s="10"/>
      <c r="S65" s="10"/>
      <c r="T65" s="10"/>
      <c r="U65" s="10"/>
      <c r="V65" s="10"/>
    </row>
    <row r="66" spans="1:22" ht="17.25">
      <c r="A66" s="10"/>
      <c r="B66" s="10"/>
      <c r="C66" s="10"/>
      <c r="D66" s="10"/>
      <c r="E66" s="10"/>
      <c r="F66" s="10"/>
      <c r="G66" s="10"/>
      <c r="H66" s="10"/>
      <c r="I66" s="10"/>
      <c r="J66" s="10"/>
      <c r="K66" s="10"/>
      <c r="L66" s="10"/>
      <c r="M66" s="10"/>
      <c r="N66" s="10"/>
      <c r="O66" s="10"/>
      <c r="P66" s="10"/>
      <c r="Q66" s="10"/>
      <c r="R66" s="10"/>
      <c r="S66" s="10"/>
      <c r="T66" s="10"/>
      <c r="U66" s="10"/>
      <c r="V66" s="10"/>
    </row>
    <row r="67" spans="1:22" ht="17.25">
      <c r="A67" s="10"/>
      <c r="B67" s="10"/>
      <c r="C67" s="10"/>
      <c r="D67" s="10"/>
      <c r="E67" s="10"/>
      <c r="F67" s="10"/>
      <c r="G67" s="10"/>
      <c r="H67" s="10"/>
      <c r="I67" s="10"/>
      <c r="J67" s="10"/>
      <c r="K67" s="10"/>
      <c r="L67" s="10"/>
      <c r="M67" s="10"/>
      <c r="N67" s="10"/>
      <c r="O67" s="10"/>
      <c r="P67" s="10"/>
      <c r="Q67" s="10"/>
      <c r="R67" s="10"/>
      <c r="S67" s="10"/>
      <c r="T67" s="10"/>
      <c r="U67" s="10"/>
      <c r="V67" s="10"/>
    </row>
    <row r="68" spans="1:22" ht="17.25">
      <c r="A68" s="10"/>
      <c r="B68" s="10"/>
      <c r="C68" s="10"/>
      <c r="D68" s="10"/>
      <c r="E68" s="10"/>
      <c r="F68" s="10"/>
      <c r="G68" s="10"/>
      <c r="H68" s="10"/>
      <c r="I68" s="10"/>
      <c r="J68" s="10"/>
      <c r="K68" s="10"/>
      <c r="L68" s="10"/>
      <c r="M68" s="10"/>
      <c r="N68" s="10"/>
      <c r="O68" s="10"/>
      <c r="P68" s="10"/>
      <c r="Q68" s="10"/>
      <c r="R68" s="10"/>
      <c r="S68" s="10"/>
      <c r="T68" s="10"/>
      <c r="U68" s="10"/>
      <c r="V68" s="10"/>
    </row>
    <row r="69" spans="1:22" ht="17.25">
      <c r="A69" s="10"/>
      <c r="B69" s="10"/>
      <c r="C69" s="10"/>
      <c r="D69" s="10"/>
      <c r="E69" s="10"/>
      <c r="F69" s="10"/>
      <c r="G69" s="10"/>
      <c r="H69" s="10"/>
      <c r="I69" s="10"/>
      <c r="J69" s="10"/>
      <c r="K69" s="10"/>
      <c r="L69" s="10"/>
      <c r="M69" s="10"/>
      <c r="N69" s="10"/>
      <c r="O69" s="10"/>
      <c r="P69" s="10"/>
      <c r="Q69" s="10"/>
      <c r="R69" s="10"/>
      <c r="S69" s="10"/>
      <c r="T69" s="10"/>
      <c r="U69" s="10"/>
      <c r="V69" s="10"/>
    </row>
    <row r="70" spans="1:22" ht="17.25">
      <c r="A70" s="10"/>
      <c r="B70" s="10"/>
      <c r="C70" s="10"/>
      <c r="D70" s="10"/>
      <c r="E70" s="10"/>
      <c r="F70" s="10"/>
      <c r="G70" s="10"/>
      <c r="H70" s="10"/>
      <c r="I70" s="10"/>
      <c r="J70" s="10"/>
      <c r="K70" s="10"/>
      <c r="L70" s="10"/>
      <c r="M70" s="10"/>
      <c r="N70" s="10"/>
      <c r="O70" s="10"/>
      <c r="P70" s="10"/>
      <c r="Q70" s="10"/>
      <c r="R70" s="10"/>
      <c r="S70" s="10"/>
      <c r="T70" s="10"/>
      <c r="U70" s="10"/>
      <c r="V70" s="10"/>
    </row>
    <row r="71" spans="1:22" ht="17.25">
      <c r="A71" s="10"/>
      <c r="B71" s="10"/>
      <c r="C71" s="10"/>
      <c r="D71" s="10"/>
      <c r="E71" s="10"/>
      <c r="F71" s="10"/>
      <c r="G71" s="10"/>
      <c r="H71" s="10"/>
      <c r="I71" s="10"/>
      <c r="J71" s="10"/>
      <c r="K71" s="10"/>
      <c r="L71" s="10"/>
      <c r="M71" s="10"/>
      <c r="N71" s="10"/>
      <c r="O71" s="10"/>
      <c r="P71" s="10"/>
      <c r="Q71" s="10"/>
      <c r="R71" s="10"/>
      <c r="S71" s="10"/>
      <c r="T71" s="10"/>
      <c r="U71" s="10"/>
      <c r="V71" s="10"/>
    </row>
    <row r="72" spans="1:22" ht="17.25">
      <c r="A72" s="10"/>
      <c r="B72" s="10"/>
      <c r="C72" s="10"/>
      <c r="D72" s="10"/>
      <c r="E72" s="10"/>
      <c r="F72" s="10"/>
      <c r="G72" s="10"/>
      <c r="H72" s="10"/>
      <c r="I72" s="10"/>
      <c r="J72" s="10"/>
      <c r="K72" s="10"/>
      <c r="L72" s="10"/>
      <c r="M72" s="10"/>
      <c r="N72" s="10"/>
      <c r="O72" s="10"/>
      <c r="P72" s="10"/>
      <c r="Q72" s="10"/>
      <c r="R72" s="10"/>
      <c r="S72" s="10"/>
      <c r="T72" s="10"/>
      <c r="U72" s="10"/>
      <c r="V72" s="10"/>
    </row>
    <row r="73" spans="1:22" ht="17.25">
      <c r="A73" s="10"/>
      <c r="B73" s="10"/>
      <c r="C73" s="10"/>
      <c r="D73" s="10"/>
      <c r="E73" s="10"/>
      <c r="F73" s="10"/>
      <c r="G73" s="10"/>
      <c r="H73" s="10"/>
      <c r="I73" s="10"/>
      <c r="J73" s="10"/>
      <c r="K73" s="10"/>
      <c r="L73" s="10"/>
      <c r="M73" s="10"/>
      <c r="N73" s="10"/>
      <c r="O73" s="10"/>
      <c r="P73" s="10"/>
      <c r="Q73" s="10"/>
      <c r="R73" s="10"/>
      <c r="S73" s="10"/>
      <c r="T73" s="10"/>
      <c r="U73" s="10"/>
      <c r="V73" s="10"/>
    </row>
    <row r="74" ht="17.25">
      <c r="A74" s="10"/>
    </row>
  </sheetData>
  <sheetProtection password="CDEC" sheet="1"/>
  <mergeCells count="6">
    <mergeCell ref="P2:T3"/>
    <mergeCell ref="E5:F5"/>
    <mergeCell ref="I5:K5"/>
    <mergeCell ref="N5:T5"/>
    <mergeCell ref="J6:K6"/>
    <mergeCell ref="E6:F6"/>
  </mergeCells>
  <printOptions/>
  <pageMargins left="0.7874015748031497" right="0.7874015748031497" top="0.7874015748031497" bottom="0.7874015748031497" header="0.5118110236220472" footer="0.3937007874015748"/>
  <pageSetup fitToHeight="1" fitToWidth="1" horizontalDpi="600" verticalDpi="600" orientation="landscape" paperSize="9" scale="81" r:id="rId3"/>
  <headerFooter alignWithMargins="0">
    <oddFooter>&amp;L&amp;F  &amp;A&amp;CGasNet Australia&amp;R&amp;D</oddFooter>
  </headerFooter>
  <legacyDrawing r:id="rId2"/>
</worksheet>
</file>

<file path=xl/worksheets/sheet4.xml><?xml version="1.0" encoding="utf-8"?>
<worksheet xmlns="http://schemas.openxmlformats.org/spreadsheetml/2006/main" xmlns:r="http://schemas.openxmlformats.org/officeDocument/2006/relationships">
  <sheetPr codeName="Sheet6">
    <tabColor theme="0" tint="-0.3499799966812134"/>
    <pageSetUpPr fitToPage="1"/>
  </sheetPr>
  <dimension ref="B2:T94"/>
  <sheetViews>
    <sheetView zoomScale="80" zoomScaleNormal="80" zoomScalePageLayoutView="0" workbookViewId="0" topLeftCell="A31">
      <selection activeCell="B9" sqref="B9"/>
    </sheetView>
  </sheetViews>
  <sheetFormatPr defaultColWidth="9.140625" defaultRowHeight="12.75"/>
  <cols>
    <col min="1" max="1" width="2.7109375" style="3" customWidth="1"/>
    <col min="2" max="2" width="9.57421875" style="3" customWidth="1"/>
    <col min="3" max="3" width="27.421875" style="3" customWidth="1"/>
    <col min="4" max="4" width="7.7109375" style="139" customWidth="1"/>
    <col min="5" max="5" width="8.7109375" style="3" customWidth="1"/>
    <col min="6" max="6" width="11.421875" style="3" customWidth="1"/>
    <col min="7" max="7" width="2.7109375" style="3" customWidth="1"/>
    <col min="8" max="16" width="9.7109375" style="3" customWidth="1"/>
    <col min="17" max="20" width="10.7109375" style="5" customWidth="1"/>
    <col min="21" max="16384" width="9.140625" style="3" customWidth="1"/>
  </cols>
  <sheetData>
    <row r="1" ht="6" customHeight="1"/>
    <row r="2" spans="2:13" ht="18" customHeight="1">
      <c r="B2" s="73" t="s">
        <v>30</v>
      </c>
      <c r="C2" s="74"/>
      <c r="D2" s="140"/>
      <c r="E2" s="76"/>
      <c r="F2" s="75"/>
      <c r="M2" s="80"/>
    </row>
    <row r="3" spans="2:5" ht="18" customHeight="1">
      <c r="B3" s="77" t="s">
        <v>93</v>
      </c>
      <c r="C3" s="78"/>
      <c r="E3" s="79"/>
    </row>
    <row r="4" spans="3:13" ht="12.75" customHeight="1">
      <c r="C4" s="78"/>
      <c r="E4" s="79"/>
      <c r="M4" s="80"/>
    </row>
    <row r="5" spans="2:13" ht="16.5">
      <c r="B5" s="81" t="s">
        <v>31</v>
      </c>
      <c r="C5" s="78"/>
      <c r="E5" s="79"/>
      <c r="M5" s="80"/>
    </row>
    <row r="6" spans="2:13" ht="16.5">
      <c r="B6" s="81" t="s">
        <v>32</v>
      </c>
      <c r="C6" s="78"/>
      <c r="E6" s="79"/>
      <c r="M6" s="80"/>
    </row>
    <row r="7" spans="2:13" ht="12.75" customHeight="1">
      <c r="B7" s="82">
        <f>IF(AND(B8&lt;&gt;1,B8&lt;&gt;2,B8&lt;&gt;3,B8&lt;&gt;4,B8&lt;&gt;5),"Input 1, 2, 3, 4 or 5 only !!","")</f>
      </c>
      <c r="C7" s="78"/>
      <c r="E7" s="79"/>
      <c r="M7" s="80"/>
    </row>
    <row r="8" spans="2:5" ht="16.5">
      <c r="B8" s="11">
        <v>1</v>
      </c>
      <c r="C8" s="83" t="s">
        <v>33</v>
      </c>
      <c r="E8" s="86" t="s">
        <v>34</v>
      </c>
    </row>
    <row r="9" spans="2:5" ht="12.75" customHeight="1">
      <c r="B9" s="83"/>
      <c r="C9" s="83"/>
      <c r="E9" s="79"/>
    </row>
    <row r="10" spans="2:5" ht="16.5">
      <c r="B10" s="84" t="s">
        <v>35</v>
      </c>
      <c r="C10" s="83" t="s">
        <v>36</v>
      </c>
      <c r="E10" s="79"/>
    </row>
    <row r="11" spans="2:5" ht="16.5">
      <c r="B11" s="84" t="s">
        <v>37</v>
      </c>
      <c r="C11" s="83" t="s">
        <v>40</v>
      </c>
      <c r="E11" s="79"/>
    </row>
    <row r="12" spans="2:5" ht="16.5">
      <c r="B12" s="84" t="s">
        <v>39</v>
      </c>
      <c r="C12" s="83" t="s">
        <v>38</v>
      </c>
      <c r="E12" s="79"/>
    </row>
    <row r="13" spans="2:5" ht="16.5">
      <c r="B13" s="84" t="s">
        <v>41</v>
      </c>
      <c r="C13" s="83" t="s">
        <v>86</v>
      </c>
      <c r="E13" s="79"/>
    </row>
    <row r="14" spans="2:13" ht="16.5">
      <c r="B14" s="84" t="s">
        <v>85</v>
      </c>
      <c r="C14" s="83" t="s">
        <v>42</v>
      </c>
      <c r="E14" s="79"/>
      <c r="M14" s="80"/>
    </row>
    <row r="15" spans="3:13" ht="12.75" customHeight="1">
      <c r="C15" s="78"/>
      <c r="E15" s="79"/>
      <c r="M15" s="80"/>
    </row>
    <row r="16" spans="2:5" ht="12.75" customHeight="1">
      <c r="B16" s="85"/>
      <c r="C16" s="78"/>
      <c r="E16" s="79"/>
    </row>
    <row r="17" spans="2:11" ht="18" customHeight="1">
      <c r="B17" s="73" t="str">
        <f>CONCATENATE(IF($B$8=1,"Longford",IF($B$8=2,"Culcairn",IF($B$8=3,"Port Campbell",IF($B$8=5,"Pakenham","LNG (Dandenong)"))))," Injection  /  Tariff-D :  "&amp;'Terms of Use'!H1&amp;"")</f>
        <v>Longford Injection  /  Tariff-D :  2019</v>
      </c>
      <c r="C17" s="74"/>
      <c r="D17" s="140"/>
      <c r="E17" s="76"/>
      <c r="K17" s="78"/>
    </row>
    <row r="18" ht="18" customHeight="1">
      <c r="K18" s="78"/>
    </row>
    <row r="19" spans="2:11" ht="13.5" customHeight="1">
      <c r="B19" s="90">
        <f>IF($B$7&lt;&gt;"","Invalid injection source entered!!","")</f>
      </c>
      <c r="H19" s="91" t="s">
        <v>43</v>
      </c>
      <c r="K19" s="78"/>
    </row>
    <row r="20" spans="2:16" ht="16.5" thickBot="1">
      <c r="B20" s="3" t="s">
        <v>44</v>
      </c>
      <c r="D20" s="143" t="s">
        <v>45</v>
      </c>
      <c r="E20" s="12">
        <v>1000</v>
      </c>
      <c r="H20" s="92">
        <f>IF(OR(H21&lt;=0,H21&gt;0.6),"Input range 1%- 60% only !","")</f>
      </c>
      <c r="I20" s="93"/>
      <c r="J20" s="93"/>
      <c r="K20" s="93"/>
      <c r="L20" s="93"/>
      <c r="M20" s="93"/>
      <c r="N20" s="93"/>
      <c r="O20" s="93"/>
      <c r="P20" s="93"/>
    </row>
    <row r="21" spans="2:16" ht="15.75">
      <c r="B21" s="3" t="s">
        <v>46</v>
      </c>
      <c r="D21" s="143" t="s">
        <v>47</v>
      </c>
      <c r="E21" s="13">
        <f>E20/365.25/E22</f>
        <v>0.5999999533500036</v>
      </c>
      <c r="H21" s="14">
        <v>0.5</v>
      </c>
      <c r="I21" s="15">
        <f aca="true" t="shared" si="0" ref="I21:P21">H21+0.05</f>
        <v>0.55</v>
      </c>
      <c r="J21" s="15">
        <f t="shared" si="0"/>
        <v>0.6000000000000001</v>
      </c>
      <c r="K21" s="15">
        <f t="shared" si="0"/>
        <v>0.6500000000000001</v>
      </c>
      <c r="L21" s="15">
        <f t="shared" si="0"/>
        <v>0.7000000000000002</v>
      </c>
      <c r="M21" s="15">
        <f t="shared" si="0"/>
        <v>0.7500000000000002</v>
      </c>
      <c r="N21" s="15">
        <f t="shared" si="0"/>
        <v>0.8000000000000003</v>
      </c>
      <c r="O21" s="15">
        <f t="shared" si="0"/>
        <v>0.8500000000000003</v>
      </c>
      <c r="P21" s="16">
        <f t="shared" si="0"/>
        <v>0.9000000000000004</v>
      </c>
    </row>
    <row r="22" spans="2:16" ht="15.75">
      <c r="B22" s="3" t="s">
        <v>48</v>
      </c>
      <c r="D22" s="148" t="s">
        <v>45</v>
      </c>
      <c r="E22" s="17">
        <v>4.563085</v>
      </c>
      <c r="F22" s="5" t="s">
        <v>49</v>
      </c>
      <c r="H22" s="18">
        <f aca="true" t="shared" si="1" ref="H22:P22">$E20/365.25/H21</f>
        <v>5.475701574264202</v>
      </c>
      <c r="I22" s="19">
        <f t="shared" si="1"/>
        <v>4.977910522058365</v>
      </c>
      <c r="J22" s="19">
        <f t="shared" si="1"/>
        <v>4.563084645220168</v>
      </c>
      <c r="K22" s="19">
        <f t="shared" si="1"/>
        <v>4.212078134049386</v>
      </c>
      <c r="L22" s="19">
        <f t="shared" si="1"/>
        <v>3.911215410188715</v>
      </c>
      <c r="M22" s="19">
        <f t="shared" si="1"/>
        <v>3.650467716176134</v>
      </c>
      <c r="N22" s="19">
        <f t="shared" si="1"/>
        <v>3.4223134839151252</v>
      </c>
      <c r="O22" s="19">
        <f>$E20/365.25/O21</f>
        <v>3.2210009260377648</v>
      </c>
      <c r="P22" s="20">
        <f t="shared" si="1"/>
        <v>3.042056430146778</v>
      </c>
    </row>
    <row r="23" spans="2:16" ht="15.75">
      <c r="B23" s="3" t="s">
        <v>50</v>
      </c>
      <c r="D23" s="143" t="s">
        <v>47</v>
      </c>
      <c r="E23" s="21">
        <v>0.95</v>
      </c>
      <c r="F23" s="22">
        <f>IF(F24="","",F24/(E22*10))</f>
      </c>
      <c r="H23" s="23">
        <f>IF($F$23="",$E$23,$F$23)</f>
        <v>0.95</v>
      </c>
      <c r="I23" s="24">
        <f aca="true" t="shared" si="2" ref="I23:O23">H23</f>
        <v>0.95</v>
      </c>
      <c r="J23" s="24">
        <f t="shared" si="2"/>
        <v>0.95</v>
      </c>
      <c r="K23" s="24">
        <f t="shared" si="2"/>
        <v>0.95</v>
      </c>
      <c r="L23" s="24">
        <f t="shared" si="2"/>
        <v>0.95</v>
      </c>
      <c r="M23" s="24">
        <f t="shared" si="2"/>
        <v>0.95</v>
      </c>
      <c r="N23" s="24">
        <f t="shared" si="2"/>
        <v>0.95</v>
      </c>
      <c r="O23" s="24">
        <f t="shared" si="2"/>
        <v>0.95</v>
      </c>
      <c r="P23" s="25">
        <f>IF(P21=1,1,O23)</f>
        <v>0.95</v>
      </c>
    </row>
    <row r="24" spans="2:16" ht="16.5" thickBot="1">
      <c r="B24" s="3" t="s">
        <v>51</v>
      </c>
      <c r="D24" s="148" t="s">
        <v>45</v>
      </c>
      <c r="E24" s="26">
        <f>10*E22*E23</f>
        <v>43.3493075</v>
      </c>
      <c r="F24" s="17"/>
      <c r="H24" s="27">
        <f aca="true" t="shared" si="3" ref="H24:P24">10*H22*H23</f>
        <v>52.01916495550992</v>
      </c>
      <c r="I24" s="28">
        <f t="shared" si="3"/>
        <v>47.29014995955447</v>
      </c>
      <c r="J24" s="28">
        <f t="shared" si="3"/>
        <v>43.349304129591594</v>
      </c>
      <c r="K24" s="28">
        <f t="shared" si="3"/>
        <v>40.01474227346916</v>
      </c>
      <c r="L24" s="28">
        <f t="shared" si="3"/>
        <v>37.15654639679279</v>
      </c>
      <c r="M24" s="28">
        <f t="shared" si="3"/>
        <v>34.67944330367327</v>
      </c>
      <c r="N24" s="28">
        <f t="shared" si="3"/>
        <v>32.51197809719368</v>
      </c>
      <c r="O24" s="28">
        <f t="shared" si="3"/>
        <v>30.599508797358762</v>
      </c>
      <c r="P24" s="29">
        <f t="shared" si="3"/>
        <v>28.899536086394388</v>
      </c>
    </row>
    <row r="25" spans="5:6" ht="12.75" customHeight="1">
      <c r="E25" s="94"/>
      <c r="F25" s="95">
        <f>IF(F24&gt;E22*10,"Your over-ride is too high!","")</f>
      </c>
    </row>
    <row r="26" spans="2:8" ht="12.75" customHeight="1">
      <c r="B26" s="91" t="s">
        <v>52</v>
      </c>
      <c r="E26" s="79"/>
      <c r="H26" s="87" t="s">
        <v>53</v>
      </c>
    </row>
    <row r="27" spans="2:8" ht="12.75" customHeight="1">
      <c r="B27" s="91"/>
      <c r="E27" s="5" t="s">
        <v>54</v>
      </c>
      <c r="H27" s="96" t="s">
        <v>55</v>
      </c>
    </row>
    <row r="28" spans="2:8" ht="12.75" customHeight="1" thickBot="1">
      <c r="B28" s="91"/>
      <c r="E28" s="97"/>
      <c r="H28" s="87"/>
    </row>
    <row r="29" spans="2:20" ht="15.75">
      <c r="B29" s="5">
        <v>1</v>
      </c>
      <c r="C29" s="3" t="s">
        <v>14</v>
      </c>
      <c r="D29" s="143">
        <f>IF(OR($B$8=2,$B$8=3),"CS","")</f>
      </c>
      <c r="E29" s="30">
        <f>(((IF($B$8=1,'Approved Tariffs'!$N13,IF($B$8=2,'Approved Tariffs'!$O13,IF($B$8=3,'Approved Tariffs'!$P13,IF($B$8=5,'Approved Tariffs'!$Q13,0))))*IF(F$24="",E$24,F$24)))/$E$20)+'Approved Tariffs'!$E13+IF($D29="CS",'Approved Tariffs'!$E$40)</f>
        <v>0.1836241628335</v>
      </c>
      <c r="F29" s="87"/>
      <c r="G29" s="87"/>
      <c r="H29" s="31">
        <f>(((IF($B$8=1,'Approved Tariffs'!$N13,IF($B$8=2,'Approved Tariffs'!$O13,IF($B$8=3,'Approved Tariffs'!$P13,IF($B$8=5,'Approved Tariffs'!$Q13,0))))*H$24))/$E$20)+'Approved Tariffs'!$E13+IF($D29="CS",'Approved Tariffs'!$E$40)</f>
        <v>0.18696899383983573</v>
      </c>
      <c r="I29" s="32">
        <f>(((IF($B$8=1,'Approved Tariffs'!$N13,IF($B$8=2,'Approved Tariffs'!$O13,IF($B$8=3,'Approved Tariffs'!$P13,IF($B$8=5,'Approved Tariffs'!$Q13,0))))*I$24))/$E$20)+'Approved Tariffs'!$E13+IF($D29="CS",'Approved Tariffs'!$E$40)</f>
        <v>0.1851445398543961</v>
      </c>
      <c r="J29" s="32">
        <f>(((IF($B$8=1,'Approved Tariffs'!$N13,IF($B$8=2,'Approved Tariffs'!$O13,IF($B$8=3,'Approved Tariffs'!$P13,IF($B$8=5,'Approved Tariffs'!$Q13,0))))*J$24))/$E$20)+'Approved Tariffs'!$E13+IF($D29="CS",'Approved Tariffs'!$E$40)</f>
        <v>0.18362416153319644</v>
      </c>
      <c r="K29" s="32">
        <f>(((IF($B$8=1,'Approved Tariffs'!$N13,IF($B$8=2,'Approved Tariffs'!$O13,IF($B$8=3,'Approved Tariffs'!$P13,IF($B$8=5,'Approved Tariffs'!$Q13,0))))*K$24))/$E$20)+'Approved Tariffs'!$E13+IF($D29="CS",'Approved Tariffs'!$E$40)</f>
        <v>0.1823376875691044</v>
      </c>
      <c r="L29" s="32">
        <f>(((IF($B$8=1,'Approved Tariffs'!$N13,IF($B$8=2,'Approved Tariffs'!$O13,IF($B$8=3,'Approved Tariffs'!$P13,IF($B$8=5,'Approved Tariffs'!$Q13,0))))*L$24))/$E$20)+'Approved Tariffs'!$E13+IF($D29="CS",'Approved Tariffs'!$E$40)</f>
        <v>0.18123499559988265</v>
      </c>
      <c r="M29" s="32">
        <f>(((IF($B$8=1,'Approved Tariffs'!$N13,IF($B$8=2,'Approved Tariffs'!$O13,IF($B$8=3,'Approved Tariffs'!$P13,IF($B$8=5,'Approved Tariffs'!$Q13,0))))*M$24))/$E$20)+'Approved Tariffs'!$E13+IF($D29="CS",'Approved Tariffs'!$E$40)</f>
        <v>0.18027932922655715</v>
      </c>
      <c r="N29" s="32">
        <f>(((IF($B$8=1,'Approved Tariffs'!$N13,IF($B$8=2,'Approved Tariffs'!$O13,IF($B$8=3,'Approved Tariffs'!$P13,IF($B$8=5,'Approved Tariffs'!$Q13,0))))*N$24))/$E$20)+'Approved Tariffs'!$E13+IF($D29="CS",'Approved Tariffs'!$E$40)</f>
        <v>0.17944312114989733</v>
      </c>
      <c r="O29" s="32">
        <f>(((IF($B$8=1,'Approved Tariffs'!$N13,IF($B$8=2,'Approved Tariffs'!$O13,IF($B$8=3,'Approved Tariffs'!$P13,IF($B$8=5,'Approved Tariffs'!$Q13,0))))*O$24))/$E$20)+'Approved Tariffs'!$E13+IF($D29="CS",'Approved Tariffs'!$E$40)</f>
        <v>0.178705290494021</v>
      </c>
      <c r="P29" s="33">
        <f>(((IF($B$8=1,'Approved Tariffs'!$N13,IF($B$8=2,'Approved Tariffs'!$O13,IF($B$8=3,'Approved Tariffs'!$P13,IF($B$8=5,'Approved Tariffs'!$Q13,0))))*P$24))/$E$20)+'Approved Tariffs'!$E13+IF($D29="CS",'Approved Tariffs'!$E$40)</f>
        <v>0.17804944102213094</v>
      </c>
      <c r="Q29" s="109"/>
      <c r="R29" s="109"/>
      <c r="S29" s="109"/>
      <c r="T29" s="109"/>
    </row>
    <row r="30" spans="2:20" ht="15.75">
      <c r="B30" s="5">
        <v>2</v>
      </c>
      <c r="C30" s="3" t="s">
        <v>56</v>
      </c>
      <c r="D30" s="143">
        <f>IF(OR($B$8=2,$B$8=3),"CS","")</f>
      </c>
      <c r="E30" s="34">
        <f>(((IF($B$8=1,'Approved Tariffs'!$N14,IF($B$8=2,'Approved Tariffs'!$O14,IF($B$8=3,'Approved Tariffs'!$P14,IF($B$8=5,'Approved Tariffs'!$Q14,0))))*IF(F$24="",E$24,F$24)))/$E$20)+'Approved Tariffs'!$E14+IF($D30="CS",'Approved Tariffs'!$E$40)</f>
        <v>0.25651868977500003</v>
      </c>
      <c r="F30" s="87"/>
      <c r="G30" s="87"/>
      <c r="H30" s="35">
        <f>(((IF($B$8=1,'Approved Tariffs'!$N14,IF($B$8=2,'Approved Tariffs'!$O14,IF($B$8=3,'Approved Tariffs'!$P14,IF($B$8=5,'Approved Tariffs'!$Q14,0))))*H$24))/$E$20)+'Approved Tariffs'!$E14+IF($D30="CS",'Approved Tariffs'!$E$40)</f>
        <v>0.2666624229979466</v>
      </c>
      <c r="I30" s="36">
        <f>(((IF($B$8=1,'Approved Tariffs'!$N14,IF($B$8=2,'Approved Tariffs'!$O14,IF($B$8=3,'Approved Tariffs'!$P14,IF($B$8=5,'Approved Tariffs'!$Q14,0))))*I$24))/$E$20)+'Approved Tariffs'!$E14+IF($D30="CS",'Approved Tariffs'!$E$40)</f>
        <v>0.2611294754526787</v>
      </c>
      <c r="J30" s="36">
        <f>(((IF($B$8=1,'Approved Tariffs'!$N14,IF($B$8=2,'Approved Tariffs'!$O14,IF($B$8=3,'Approved Tariffs'!$P14,IF($B$8=5,'Approved Tariffs'!$Q14,0))))*J$24))/$E$20)+'Approved Tariffs'!$E14+IF($D30="CS",'Approved Tariffs'!$E$40)</f>
        <v>0.2565186858316222</v>
      </c>
      <c r="K30" s="36">
        <f>(((IF($B$8=1,'Approved Tariffs'!$N14,IF($B$8=2,'Approved Tariffs'!$O14,IF($B$8=3,'Approved Tariffs'!$P14,IF($B$8=5,'Approved Tariffs'!$Q14,0))))*K$24))/$E$20)+'Approved Tariffs'!$E14+IF($D30="CS",'Approved Tariffs'!$E$40)</f>
        <v>0.2526172484599589</v>
      </c>
      <c r="L30" s="36">
        <f>(((IF($B$8=1,'Approved Tariffs'!$N14,IF($B$8=2,'Approved Tariffs'!$O14,IF($B$8=3,'Approved Tariffs'!$P14,IF($B$8=5,'Approved Tariffs'!$Q14,0))))*L$24))/$E$20)+'Approved Tariffs'!$E14+IF($D30="CS",'Approved Tariffs'!$E$40)</f>
        <v>0.2492731592842476</v>
      </c>
      <c r="M30" s="36">
        <f>(((IF($B$8=1,'Approved Tariffs'!$N14,IF($B$8=2,'Approved Tariffs'!$O14,IF($B$8=3,'Approved Tariffs'!$P14,IF($B$8=5,'Approved Tariffs'!$Q14,0))))*M$24))/$E$20)+'Approved Tariffs'!$E14+IF($D30="CS",'Approved Tariffs'!$E$40)</f>
        <v>0.24637494866529774</v>
      </c>
      <c r="N30" s="36">
        <f>(((IF($B$8=1,'Approved Tariffs'!$N14,IF($B$8=2,'Approved Tariffs'!$O14,IF($B$8=3,'Approved Tariffs'!$P14,IF($B$8=5,'Approved Tariffs'!$Q14,0))))*N$24))/$E$20)+'Approved Tariffs'!$E14+IF($D30="CS",'Approved Tariffs'!$E$40)</f>
        <v>0.2438390143737166</v>
      </c>
      <c r="O30" s="36">
        <f>(((IF($B$8=1,'Approved Tariffs'!$N14,IF($B$8=2,'Approved Tariffs'!$O14,IF($B$8=3,'Approved Tariffs'!$P14,IF($B$8=5,'Approved Tariffs'!$Q14,0))))*O$24))/$E$20)+'Approved Tariffs'!$E14+IF($D30="CS",'Approved Tariffs'!$E$40)</f>
        <v>0.24160142529290976</v>
      </c>
      <c r="P30" s="37">
        <f>(((IF($B$8=1,'Approved Tariffs'!$N14,IF($B$8=2,'Approved Tariffs'!$O14,IF($B$8=3,'Approved Tariffs'!$P14,IF($B$8=5,'Approved Tariffs'!$Q14,0))))*P$24))/$E$20)+'Approved Tariffs'!$E14+IF($D30="CS",'Approved Tariffs'!$E$40)</f>
        <v>0.23961245722108143</v>
      </c>
      <c r="Q30" s="109"/>
      <c r="R30" s="109"/>
      <c r="S30" s="109"/>
      <c r="T30" s="109"/>
    </row>
    <row r="31" spans="2:17" ht="15.75">
      <c r="B31" s="5">
        <v>3</v>
      </c>
      <c r="C31" s="3" t="s">
        <v>15</v>
      </c>
      <c r="D31" s="143">
        <f>IF(OR($B$8=2,$B$8=3),"CS","")</f>
      </c>
      <c r="E31" s="34">
        <f>(((IF($B$8=1,'Approved Tariffs'!$N15,IF($B$8=2,'Approved Tariffs'!$O15,IF($B$8=3,'Approved Tariffs'!$P15,IF($B$8=5,'Approved Tariffs'!$Q15,0))))*IF(F$24="",E$24,F$24)))/$E$20)+'Approved Tariffs'!$E15+IF($D31="CS",'Approved Tariffs'!$E$40)</f>
        <v>0.26859847322475</v>
      </c>
      <c r="F31" s="87"/>
      <c r="G31" s="87"/>
      <c r="H31" s="35">
        <f>(((IF($B$8=1,'Approved Tariffs'!$N15,IF($B$8=2,'Approved Tariffs'!$O15,IF($B$8=3,'Approved Tariffs'!$P15,IF($B$8=5,'Approved Tariffs'!$Q15,0))))*H$24))/$E$20)+'Approved Tariffs'!$E15+IF($D31="CS",'Approved Tariffs'!$E$40)</f>
        <v>0.27337816563997264</v>
      </c>
      <c r="I31" s="36">
        <f>(((IF($B$8=1,'Approved Tariffs'!$N15,IF($B$8=2,'Approved Tariffs'!$O15,IF($B$8=3,'Approved Tariffs'!$P15,IF($B$8=5,'Approved Tariffs'!$Q15,0))))*I$24))/$E$20)+'Approved Tariffs'!$E15+IF($D31="CS",'Approved Tariffs'!$E$40)</f>
        <v>0.2707710596727024</v>
      </c>
      <c r="J31" s="36">
        <f>(((IF($B$8=1,'Approved Tariffs'!$N15,IF($B$8=2,'Approved Tariffs'!$O15,IF($B$8=3,'Approved Tariffs'!$P15,IF($B$8=5,'Approved Tariffs'!$Q15,0))))*J$24))/$E$20)+'Approved Tariffs'!$E15+IF($D31="CS",'Approved Tariffs'!$E$40)</f>
        <v>0.26859847136664383</v>
      </c>
      <c r="K31" s="36">
        <f>(((IF($B$8=1,'Approved Tariffs'!$N15,IF($B$8=2,'Approved Tariffs'!$O15,IF($B$8=3,'Approved Tariffs'!$P15,IF($B$8=5,'Approved Tariffs'!$Q15,0))))*K$24))/$E$20)+'Approved Tariffs'!$E15+IF($D31="CS",'Approved Tariffs'!$E$40)</f>
        <v>0.26676012741536353</v>
      </c>
      <c r="L31" s="36">
        <f>(((IF($B$8=1,'Approved Tariffs'!$N15,IF($B$8=2,'Approved Tariffs'!$O15,IF($B$8=3,'Approved Tariffs'!$P15,IF($B$8=5,'Approved Tariffs'!$Q15,0))))*L$24))/$E$20)+'Approved Tariffs'!$E15+IF($D31="CS",'Approved Tariffs'!$E$40)</f>
        <v>0.26518440402855187</v>
      </c>
      <c r="M31" s="36">
        <f>(((IF($B$8=1,'Approved Tariffs'!$N15,IF($B$8=2,'Approved Tariffs'!$O15,IF($B$8=3,'Approved Tariffs'!$P15,IF($B$8=5,'Approved Tariffs'!$Q15,0))))*M$24))/$E$20)+'Approved Tariffs'!$E15+IF($D31="CS",'Approved Tariffs'!$E$40)</f>
        <v>0.2638187770933151</v>
      </c>
      <c r="N31" s="36">
        <f>(((IF($B$8=1,'Approved Tariffs'!$N15,IF($B$8=2,'Approved Tariffs'!$O15,IF($B$8=3,'Approved Tariffs'!$P15,IF($B$8=5,'Approved Tariffs'!$Q15,0))))*N$24))/$E$20)+'Approved Tariffs'!$E15+IF($D31="CS",'Approved Tariffs'!$E$40)</f>
        <v>0.26262385352498285</v>
      </c>
      <c r="O31" s="36">
        <f>(((IF($B$8=1,'Approved Tariffs'!$N15,IF($B$8=2,'Approved Tariffs'!$O15,IF($B$8=3,'Approved Tariffs'!$P15,IF($B$8=5,'Approved Tariffs'!$Q15,0))))*O$24))/$E$20)+'Approved Tariffs'!$E15+IF($D31="CS",'Approved Tariffs'!$E$40)</f>
        <v>0.2615695091999839</v>
      </c>
      <c r="P31" s="37">
        <f>(((IF($B$8=1,'Approved Tariffs'!$N15,IF($B$8=2,'Approved Tariffs'!$O15,IF($B$8=3,'Approved Tariffs'!$P15,IF($B$8=5,'Approved Tariffs'!$Q15,0))))*P$24))/$E$20)+'Approved Tariffs'!$E15+IF($D31="CS",'Approved Tariffs'!$E$40)</f>
        <v>0.26063231424442923</v>
      </c>
      <c r="Q31" s="109"/>
    </row>
    <row r="32" spans="2:17" ht="15.75">
      <c r="B32" s="5">
        <v>4</v>
      </c>
      <c r="C32" s="98" t="s">
        <v>59</v>
      </c>
      <c r="D32" s="143"/>
      <c r="E32" s="34">
        <f>(((IF($B$8=1,'Approved Tariffs'!$N16,IF($B$8=2,'Approved Tariffs'!$O16,IF($B$8=3,'Approved Tariffs'!$P16,IF($B$8=5,'Approved Tariffs'!$Q16,0))))*IF(F$24="",E$24,F$24)))/$E$20)+'Approved Tariffs'!$E16+IF($D32="CS",'Approved Tariffs'!$E$40)</f>
        <v>0.43043548455575</v>
      </c>
      <c r="F32" s="87"/>
      <c r="G32" s="87"/>
      <c r="H32" s="35">
        <f>(((IF($B$8=1,'Approved Tariffs'!$N16,IF($B$8=2,'Approved Tariffs'!$O16,IF($B$8=3,'Approved Tariffs'!$P16,IF($B$8=5,'Approved Tariffs'!$Q16,0))))*H$24))/$E$20)+'Approved Tariffs'!$E16+IF($D32="CS",'Approved Tariffs'!$E$40)</f>
        <v>0.4473425735797399</v>
      </c>
      <c r="I32" s="36">
        <f>(((IF($B$8=1,'Approved Tariffs'!$N16,IF($B$8=2,'Approved Tariffs'!$O16,IF($B$8=3,'Approved Tariffs'!$P16,IF($B$8=5,'Approved Tariffs'!$Q16,0))))*I$24))/$E$20)+'Approved Tariffs'!$E16+IF($D32="CS",'Approved Tariffs'!$E$40)</f>
        <v>0.4381205214361272</v>
      </c>
      <c r="J32" s="36">
        <f>(((IF($B$8=1,'Approved Tariffs'!$N16,IF($B$8=2,'Approved Tariffs'!$O16,IF($B$8=3,'Approved Tariffs'!$P16,IF($B$8=5,'Approved Tariffs'!$Q16,0))))*J$24))/$E$20)+'Approved Tariffs'!$E16+IF($D32="CS",'Approved Tariffs'!$E$40)</f>
        <v>0.43043547798311654</v>
      </c>
      <c r="K32" s="36">
        <f>(((IF($B$8=1,'Approved Tariffs'!$N16,IF($B$8=2,'Approved Tariffs'!$O16,IF($B$8=3,'Approved Tariffs'!$P16,IF($B$8=5,'Approved Tariffs'!$Q16,0))))*K$24))/$E$20)+'Approved Tariffs'!$E16+IF($D32="CS",'Approved Tariffs'!$E$40)</f>
        <v>0.4239327489074922</v>
      </c>
      <c r="L32" s="36">
        <f>(((IF($B$8=1,'Approved Tariffs'!$N16,IF($B$8=2,'Approved Tariffs'!$O16,IF($B$8=3,'Approved Tariffs'!$P16,IF($B$8=5,'Approved Tariffs'!$Q16,0))))*L$24))/$E$20)+'Approved Tariffs'!$E16+IF($D32="CS",'Approved Tariffs'!$E$40)</f>
        <v>0.4183589811283856</v>
      </c>
      <c r="M32" s="36">
        <f>(((IF($B$8=1,'Approved Tariffs'!$N16,IF($B$8=2,'Approved Tariffs'!$O16,IF($B$8=3,'Approved Tariffs'!$P16,IF($B$8=5,'Approved Tariffs'!$Q16,0))))*M$24))/$E$20)+'Approved Tariffs'!$E16+IF($D32="CS",'Approved Tariffs'!$E$40)</f>
        <v>0.41352838238649325</v>
      </c>
      <c r="N32" s="36">
        <f>(((IF($B$8=1,'Approved Tariffs'!$N16,IF($B$8=2,'Approved Tariffs'!$O16,IF($B$8=3,'Approved Tariffs'!$P16,IF($B$8=5,'Approved Tariffs'!$Q16,0))))*N$24))/$E$20)+'Approved Tariffs'!$E16+IF($D32="CS",'Approved Tariffs'!$E$40)</f>
        <v>0.4093016084873374</v>
      </c>
      <c r="O32" s="36">
        <f>(((IF($B$8=1,'Approved Tariffs'!$N16,IF($B$8=2,'Approved Tariffs'!$O16,IF($B$8=3,'Approved Tariffs'!$P16,IF($B$8=5,'Approved Tariffs'!$Q16,0))))*O$24))/$E$20)+'Approved Tariffs'!$E16+IF($D32="CS",'Approved Tariffs'!$E$40)</f>
        <v>0.4055721021057293</v>
      </c>
      <c r="P32" s="37">
        <f>(((IF($B$8=1,'Approved Tariffs'!$N16,IF($B$8=2,'Approved Tariffs'!$O16,IF($B$8=3,'Approved Tariffs'!$P16,IF($B$8=5,'Approved Tariffs'!$Q16,0))))*P$24))/$E$20)+'Approved Tariffs'!$E16+IF($D32="CS",'Approved Tariffs'!$E$40)</f>
        <v>0.40225698532207765</v>
      </c>
      <c r="Q32" s="109"/>
    </row>
    <row r="33" spans="2:17" ht="15.75">
      <c r="B33" s="5">
        <v>5</v>
      </c>
      <c r="C33" s="3" t="s">
        <v>16</v>
      </c>
      <c r="D33" s="143"/>
      <c r="E33" s="34">
        <f>(((IF($B$8=1,'Approved Tariffs'!$N17,IF($B$8=2,'Approved Tariffs'!$O17,IF($B$8=3,'Approved Tariffs'!$P17,IF($B$8=5,'Approved Tariffs'!$Q17,0))))*IF(F$24="",E$24,F$24)))/$E$20)+'Approved Tariffs'!$E17+IF($D33="CS",'Approved Tariffs'!$E$40)</f>
        <v>0.87153548455575</v>
      </c>
      <c r="F33" s="87"/>
      <c r="G33" s="87"/>
      <c r="H33" s="35">
        <f>(((IF($B$8=1,'Approved Tariffs'!$N17,IF($B$8=2,'Approved Tariffs'!$O17,IF($B$8=3,'Approved Tariffs'!$P17,IF($B$8=5,'Approved Tariffs'!$Q17,0))))*H$24))/$E$20)+'Approved Tariffs'!$E17+IF($D33="CS",'Approved Tariffs'!$E$40)</f>
        <v>0.8884425735797399</v>
      </c>
      <c r="I33" s="36">
        <f>(((IF($B$8=1,'Approved Tariffs'!$N17,IF($B$8=2,'Approved Tariffs'!$O17,IF($B$8=3,'Approved Tariffs'!$P17,IF($B$8=5,'Approved Tariffs'!$Q17,0))))*I$24))/$E$20)+'Approved Tariffs'!$E17+IF($D33="CS",'Approved Tariffs'!$E$40)</f>
        <v>0.8792205214361272</v>
      </c>
      <c r="J33" s="36">
        <f>(((IF($B$8=1,'Approved Tariffs'!$N17,IF($B$8=2,'Approved Tariffs'!$O17,IF($B$8=3,'Approved Tariffs'!$P17,IF($B$8=5,'Approved Tariffs'!$Q17,0))))*J$24))/$E$20)+'Approved Tariffs'!$E17+IF($D33="CS",'Approved Tariffs'!$E$40)</f>
        <v>0.8715354779831166</v>
      </c>
      <c r="K33" s="36">
        <f>(((IF($B$8=1,'Approved Tariffs'!$N17,IF($B$8=2,'Approved Tariffs'!$O17,IF($B$8=3,'Approved Tariffs'!$P17,IF($B$8=5,'Approved Tariffs'!$Q17,0))))*K$24))/$E$20)+'Approved Tariffs'!$E17+IF($D33="CS",'Approved Tariffs'!$E$40)</f>
        <v>0.8650327489074923</v>
      </c>
      <c r="L33" s="36">
        <f>(((IF($B$8=1,'Approved Tariffs'!$N17,IF($B$8=2,'Approved Tariffs'!$O17,IF($B$8=3,'Approved Tariffs'!$P17,IF($B$8=5,'Approved Tariffs'!$Q17,0))))*L$24))/$E$20)+'Approved Tariffs'!$E17+IF($D33="CS",'Approved Tariffs'!$E$40)</f>
        <v>0.8594589811283857</v>
      </c>
      <c r="M33" s="36">
        <f>(((IF($B$8=1,'Approved Tariffs'!$N17,IF($B$8=2,'Approved Tariffs'!$O17,IF($B$8=3,'Approved Tariffs'!$P17,IF($B$8=5,'Approved Tariffs'!$Q17,0))))*M$24))/$E$20)+'Approved Tariffs'!$E17+IF($D33="CS",'Approved Tariffs'!$E$40)</f>
        <v>0.8546283823864933</v>
      </c>
      <c r="N33" s="36">
        <f>(((IF($B$8=1,'Approved Tariffs'!$N17,IF($B$8=2,'Approved Tariffs'!$O17,IF($B$8=3,'Approved Tariffs'!$P17,IF($B$8=5,'Approved Tariffs'!$Q17,0))))*N$24))/$E$20)+'Approved Tariffs'!$E17+IF($D33="CS",'Approved Tariffs'!$E$40)</f>
        <v>0.8504016084873375</v>
      </c>
      <c r="O33" s="36">
        <f>(((IF($B$8=1,'Approved Tariffs'!$N17,IF($B$8=2,'Approved Tariffs'!$O17,IF($B$8=3,'Approved Tariffs'!$P17,IF($B$8=5,'Approved Tariffs'!$Q17,0))))*O$24))/$E$20)+'Approved Tariffs'!$E17+IF($D33="CS",'Approved Tariffs'!$E$40)</f>
        <v>0.8466721021057294</v>
      </c>
      <c r="P33" s="37">
        <f>(((IF($B$8=1,'Approved Tariffs'!$N17,IF($B$8=2,'Approved Tariffs'!$O17,IF($B$8=3,'Approved Tariffs'!$P17,IF($B$8=5,'Approved Tariffs'!$Q17,0))))*P$24))/$E$20)+'Approved Tariffs'!$E17+IF($D33="CS",'Approved Tariffs'!$E$40)</f>
        <v>0.8433569853220777</v>
      </c>
      <c r="Q33" s="109"/>
    </row>
    <row r="34" spans="2:17" ht="15.75">
      <c r="B34" s="5">
        <v>6</v>
      </c>
      <c r="C34" s="3" t="s">
        <v>17</v>
      </c>
      <c r="D34" s="143"/>
      <c r="E34" s="34">
        <f>(((IF($B$8=1,'Approved Tariffs'!$N18,IF($B$8=2,'Approved Tariffs'!$O18,IF($B$8=3,'Approved Tariffs'!$P18,IF($B$8=5,'Approved Tariffs'!$Q18,0))))*IF(F$24="",E$24,F$24)))/$E$20)+'Approved Tariffs'!$E18+IF($D34="CS",'Approved Tariffs'!$E$40)</f>
        <v>0.39053548455575</v>
      </c>
      <c r="F34" s="87"/>
      <c r="G34" s="87"/>
      <c r="H34" s="35">
        <f>(((IF($B$8=1,'Approved Tariffs'!$N18,IF($B$8=2,'Approved Tariffs'!$O18,IF($B$8=3,'Approved Tariffs'!$P18,IF($B$8=5,'Approved Tariffs'!$Q18,0))))*H$24))/$E$20)+'Approved Tariffs'!$E18+IF($D34="CS",'Approved Tariffs'!$E$40)</f>
        <v>0.4074425735797399</v>
      </c>
      <c r="I34" s="36">
        <f>(((IF($B$8=1,'Approved Tariffs'!$N18,IF($B$8=2,'Approved Tariffs'!$O18,IF($B$8=3,'Approved Tariffs'!$P18,IF($B$8=5,'Approved Tariffs'!$Q18,0))))*I$24))/$E$20)+'Approved Tariffs'!$E18+IF($D34="CS",'Approved Tariffs'!$E$40)</f>
        <v>0.3982205214361272</v>
      </c>
      <c r="J34" s="36">
        <f>(((IF($B$8=1,'Approved Tariffs'!$N18,IF($B$8=2,'Approved Tariffs'!$O18,IF($B$8=3,'Approved Tariffs'!$P18,IF($B$8=5,'Approved Tariffs'!$Q18,0))))*J$24))/$E$20)+'Approved Tariffs'!$E18+IF($D34="CS",'Approved Tariffs'!$E$40)</f>
        <v>0.39053547798311655</v>
      </c>
      <c r="K34" s="36">
        <f>(((IF($B$8=1,'Approved Tariffs'!$N18,IF($B$8=2,'Approved Tariffs'!$O18,IF($B$8=3,'Approved Tariffs'!$P18,IF($B$8=5,'Approved Tariffs'!$Q18,0))))*K$24))/$E$20)+'Approved Tariffs'!$E18+IF($D34="CS",'Approved Tariffs'!$E$40)</f>
        <v>0.38403274890749217</v>
      </c>
      <c r="L34" s="36">
        <f>(((IF($B$8=1,'Approved Tariffs'!$N18,IF($B$8=2,'Approved Tariffs'!$O18,IF($B$8=3,'Approved Tariffs'!$P18,IF($B$8=5,'Approved Tariffs'!$Q18,0))))*L$24))/$E$20)+'Approved Tariffs'!$E18+IF($D34="CS",'Approved Tariffs'!$E$40)</f>
        <v>0.3784589811283856</v>
      </c>
      <c r="M34" s="36">
        <f>(((IF($B$8=1,'Approved Tariffs'!$N18,IF($B$8=2,'Approved Tariffs'!$O18,IF($B$8=3,'Approved Tariffs'!$P18,IF($B$8=5,'Approved Tariffs'!$Q18,0))))*M$24))/$E$20)+'Approved Tariffs'!$E18+IF($D34="CS",'Approved Tariffs'!$E$40)</f>
        <v>0.3736283823864932</v>
      </c>
      <c r="N34" s="36">
        <f>(((IF($B$8=1,'Approved Tariffs'!$N18,IF($B$8=2,'Approved Tariffs'!$O18,IF($B$8=3,'Approved Tariffs'!$P18,IF($B$8=5,'Approved Tariffs'!$Q18,0))))*N$24))/$E$20)+'Approved Tariffs'!$E18+IF($D34="CS",'Approved Tariffs'!$E$40)</f>
        <v>0.3694016084873374</v>
      </c>
      <c r="O34" s="36">
        <f>(((IF($B$8=1,'Approved Tariffs'!$N18,IF($B$8=2,'Approved Tariffs'!$O18,IF($B$8=3,'Approved Tariffs'!$P18,IF($B$8=5,'Approved Tariffs'!$Q18,0))))*O$24))/$E$20)+'Approved Tariffs'!$E18+IF($D34="CS",'Approved Tariffs'!$E$40)</f>
        <v>0.3656721021057293</v>
      </c>
      <c r="P34" s="37">
        <f>(((IF($B$8=1,'Approved Tariffs'!$N18,IF($B$8=2,'Approved Tariffs'!$O18,IF($B$8=3,'Approved Tariffs'!$P18,IF($B$8=5,'Approved Tariffs'!$Q18,0))))*P$24))/$E$20)+'Approved Tariffs'!$E18+IF($D34="CS",'Approved Tariffs'!$E$40)</f>
        <v>0.3623569853220777</v>
      </c>
      <c r="Q34" s="109"/>
    </row>
    <row r="35" spans="2:17" ht="15.75">
      <c r="B35" s="5">
        <v>7</v>
      </c>
      <c r="C35" s="3" t="s">
        <v>58</v>
      </c>
      <c r="D35" s="143"/>
      <c r="E35" s="34">
        <f>(((IF($B$8=1,'Approved Tariffs'!$N19,IF($B$8=2,'Approved Tariffs'!$O19,IF($B$8=3,'Approved Tariffs'!$P19,IF($B$8=5,'Approved Tariffs'!$Q19,0))))*IF(F$24="",E$24,F$24)))/$E$20)+'Approved Tariffs'!$E19+IF($D35="CS",'Approved Tariffs'!$E$40)</f>
        <v>0.74253548455575</v>
      </c>
      <c r="F35" s="87"/>
      <c r="G35" s="87"/>
      <c r="H35" s="35">
        <f>(((IF($B$8=1,'Approved Tariffs'!$N19,IF($B$8=2,'Approved Tariffs'!$O19,IF($B$8=3,'Approved Tariffs'!$P19,IF($B$8=5,'Approved Tariffs'!$Q19,0))))*H$24))/$E$20)+'Approved Tariffs'!$E19+IF($D35="CS",'Approved Tariffs'!$E$40)</f>
        <v>0.7594425735797399</v>
      </c>
      <c r="I35" s="36">
        <f>(((IF($B$8=1,'Approved Tariffs'!$N19,IF($B$8=2,'Approved Tariffs'!$O19,IF($B$8=3,'Approved Tariffs'!$P19,IF($B$8=5,'Approved Tariffs'!$Q19,0))))*I$24))/$E$20)+'Approved Tariffs'!$E19+IF($D35="CS",'Approved Tariffs'!$E$40)</f>
        <v>0.7502205214361272</v>
      </c>
      <c r="J35" s="36">
        <f>(((IF($B$8=1,'Approved Tariffs'!$N19,IF($B$8=2,'Approved Tariffs'!$O19,IF($B$8=3,'Approved Tariffs'!$P19,IF($B$8=5,'Approved Tariffs'!$Q19,0))))*J$24))/$E$20)+'Approved Tariffs'!$E19+IF($D35="CS",'Approved Tariffs'!$E$40)</f>
        <v>0.7425354779831166</v>
      </c>
      <c r="K35" s="36">
        <f>(((IF($B$8=1,'Approved Tariffs'!$N19,IF($B$8=2,'Approved Tariffs'!$O19,IF($B$8=3,'Approved Tariffs'!$P19,IF($B$8=5,'Approved Tariffs'!$Q19,0))))*K$24))/$E$20)+'Approved Tariffs'!$E19+IF($D35="CS",'Approved Tariffs'!$E$40)</f>
        <v>0.7360327489074923</v>
      </c>
      <c r="L35" s="36">
        <f>(((IF($B$8=1,'Approved Tariffs'!$N19,IF($B$8=2,'Approved Tariffs'!$O19,IF($B$8=3,'Approved Tariffs'!$P19,IF($B$8=5,'Approved Tariffs'!$Q19,0))))*L$24))/$E$20)+'Approved Tariffs'!$E19+IF($D35="CS",'Approved Tariffs'!$E$40)</f>
        <v>0.7304589811283857</v>
      </c>
      <c r="M35" s="36">
        <f>(((IF($B$8=1,'Approved Tariffs'!$N19,IF($B$8=2,'Approved Tariffs'!$O19,IF($B$8=3,'Approved Tariffs'!$P19,IF($B$8=5,'Approved Tariffs'!$Q19,0))))*M$24))/$E$20)+'Approved Tariffs'!$E19+IF($D35="CS",'Approved Tariffs'!$E$40)</f>
        <v>0.7256283823864933</v>
      </c>
      <c r="N35" s="36">
        <f>(((IF($B$8=1,'Approved Tariffs'!$N19,IF($B$8=2,'Approved Tariffs'!$O19,IF($B$8=3,'Approved Tariffs'!$P19,IF($B$8=5,'Approved Tariffs'!$Q19,0))))*N$24))/$E$20)+'Approved Tariffs'!$E19+IF($D35="CS",'Approved Tariffs'!$E$40)</f>
        <v>0.7214016084873375</v>
      </c>
      <c r="O35" s="36">
        <f>(((IF($B$8=1,'Approved Tariffs'!$N19,IF($B$8=2,'Approved Tariffs'!$O19,IF($B$8=3,'Approved Tariffs'!$P19,IF($B$8=5,'Approved Tariffs'!$Q19,0))))*O$24))/$E$20)+'Approved Tariffs'!$E19+IF($D35="CS",'Approved Tariffs'!$E$40)</f>
        <v>0.7176721021057294</v>
      </c>
      <c r="P35" s="37">
        <f>(((IF($B$8=1,'Approved Tariffs'!$N19,IF($B$8=2,'Approved Tariffs'!$O19,IF($B$8=3,'Approved Tariffs'!$P19,IF($B$8=5,'Approved Tariffs'!$Q19,0))))*P$24))/$E$20)+'Approved Tariffs'!$E19+IF($D35="CS",'Approved Tariffs'!$E$40)</f>
        <v>0.7143569853220777</v>
      </c>
      <c r="Q35" s="109"/>
    </row>
    <row r="36" spans="2:17" ht="15.75">
      <c r="B36" s="5">
        <v>8</v>
      </c>
      <c r="C36" s="3" t="s">
        <v>19</v>
      </c>
      <c r="D36" s="143"/>
      <c r="E36" s="34">
        <f>(((IF($B$8=1,'Approved Tariffs'!$N20,IF($B$8=2,'Approved Tariffs'!$O20,IF($B$8=3,'Approved Tariffs'!$P20,IF($B$8=5,'Approved Tariffs'!$Q20,0))))*IF(F$24="",E$24,F$24)))/$E$20)+'Approved Tariffs'!$E20+IF($D36="CS",'Approved Tariffs'!$E$40)</f>
        <v>0.86773548455575</v>
      </c>
      <c r="F36" s="101">
        <f>IF($B$8=2," Matched","")</f>
      </c>
      <c r="G36" s="87"/>
      <c r="H36" s="35">
        <f>(((IF($B$8=1,'Approved Tariffs'!$N20,IF($B$8=2,'Approved Tariffs'!$O20,IF($B$8=3,'Approved Tariffs'!$P20,IF($B$8=5,'Approved Tariffs'!$Q20,0))))*H$24))/$E$20)+'Approved Tariffs'!$E20+IF($D36="CS",'Approved Tariffs'!$E$40)</f>
        <v>0.8846425735797399</v>
      </c>
      <c r="I36" s="36">
        <f>(((IF($B$8=1,'Approved Tariffs'!$N20,IF($B$8=2,'Approved Tariffs'!$O20,IF($B$8=3,'Approved Tariffs'!$P20,IF($B$8=5,'Approved Tariffs'!$Q20,0))))*I$24))/$E$20)+'Approved Tariffs'!$E20+IF($D36="CS",'Approved Tariffs'!$E$40)</f>
        <v>0.8754205214361271</v>
      </c>
      <c r="J36" s="36">
        <f>(((IF($B$8=1,'Approved Tariffs'!$N20,IF($B$8=2,'Approved Tariffs'!$O20,IF($B$8=3,'Approved Tariffs'!$P20,IF($B$8=5,'Approved Tariffs'!$Q20,0))))*J$24))/$E$20)+'Approved Tariffs'!$E20+IF($D36="CS",'Approved Tariffs'!$E$40)</f>
        <v>0.8677354779831166</v>
      </c>
      <c r="K36" s="36">
        <f>(((IF($B$8=1,'Approved Tariffs'!$N20,IF($B$8=2,'Approved Tariffs'!$O20,IF($B$8=3,'Approved Tariffs'!$P20,IF($B$8=5,'Approved Tariffs'!$Q20,0))))*K$24))/$E$20)+'Approved Tariffs'!$E20+IF($D36="CS",'Approved Tariffs'!$E$40)</f>
        <v>0.8612327489074922</v>
      </c>
      <c r="L36" s="36">
        <f>(((IF($B$8=1,'Approved Tariffs'!$N20,IF($B$8=2,'Approved Tariffs'!$O20,IF($B$8=3,'Approved Tariffs'!$P20,IF($B$8=5,'Approved Tariffs'!$Q20,0))))*L$24))/$E$20)+'Approved Tariffs'!$E20+IF($D36="CS",'Approved Tariffs'!$E$40)</f>
        <v>0.8556589811283857</v>
      </c>
      <c r="M36" s="36">
        <f>(((IF($B$8=1,'Approved Tariffs'!$N20,IF($B$8=2,'Approved Tariffs'!$O20,IF($B$8=3,'Approved Tariffs'!$P20,IF($B$8=5,'Approved Tariffs'!$Q20,0))))*M$24))/$E$20)+'Approved Tariffs'!$E20+IF($D36="CS",'Approved Tariffs'!$E$40)</f>
        <v>0.8508283823864933</v>
      </c>
      <c r="N36" s="36">
        <f>(((IF($B$8=1,'Approved Tariffs'!$N20,IF($B$8=2,'Approved Tariffs'!$O20,IF($B$8=3,'Approved Tariffs'!$P20,IF($B$8=5,'Approved Tariffs'!$Q20,0))))*N$24))/$E$20)+'Approved Tariffs'!$E20+IF($D36="CS",'Approved Tariffs'!$E$40)</f>
        <v>0.8466016084873375</v>
      </c>
      <c r="O36" s="36">
        <f>(((IF($B$8=1,'Approved Tariffs'!$N20,IF($B$8=2,'Approved Tariffs'!$O20,IF($B$8=3,'Approved Tariffs'!$P20,IF($B$8=5,'Approved Tariffs'!$Q20,0))))*O$24))/$E$20)+'Approved Tariffs'!$E20+IF($D36="CS",'Approved Tariffs'!$E$40)</f>
        <v>0.8428721021057294</v>
      </c>
      <c r="P36" s="37">
        <f>(((IF($B$8=1,'Approved Tariffs'!$N20,IF($B$8=2,'Approved Tariffs'!$O20,IF($B$8=3,'Approved Tariffs'!$P20,IF($B$8=5,'Approved Tariffs'!$Q20,0))))*P$24))/$E$20)+'Approved Tariffs'!$E20+IF($D36="CS",'Approved Tariffs'!$E$40)</f>
        <v>0.8395569853220777</v>
      </c>
      <c r="Q36" s="109"/>
    </row>
    <row r="37" spans="2:17" ht="15.75">
      <c r="B37" s="5">
        <v>9</v>
      </c>
      <c r="C37" s="3" t="s">
        <v>20</v>
      </c>
      <c r="D37" s="143" t="str">
        <f>IF(OR($B$8=1,$B$8=2,$B$8=5),"CS","")</f>
        <v>CS</v>
      </c>
      <c r="E37" s="34">
        <f>(((IF($B$8=1,'Approved Tariffs'!$N21,IF($B$8=2,'Approved Tariffs'!$O21,IF($B$8=3,'Approved Tariffs'!$P21,IF($B$8=5,'Approved Tariffs'!$Q21,0))))*IF(F$24="",E$24,F$24)))/$E$20)+'Approved Tariffs'!$E21+IF($D37="CS",'Approved Tariffs'!$E$40)</f>
        <v>1.01093548455575</v>
      </c>
      <c r="F37" s="87"/>
      <c r="G37" s="87"/>
      <c r="H37" s="35">
        <f>(((IF($B$8=1,'Approved Tariffs'!$N21,IF($B$8=2,'Approved Tariffs'!$O21,IF($B$8=3,'Approved Tariffs'!$P21,IF($B$8=5,'Approved Tariffs'!$Q21,0))))*H$24))/$E$20)+'Approved Tariffs'!$E21+IF($D37="CS",'Approved Tariffs'!$E$40)</f>
        <v>1.02784257357974</v>
      </c>
      <c r="I37" s="36">
        <f>(((IF($B$8=1,'Approved Tariffs'!$N21,IF($B$8=2,'Approved Tariffs'!$O21,IF($B$8=3,'Approved Tariffs'!$P21,IF($B$8=5,'Approved Tariffs'!$Q21,0))))*I$24))/$E$20)+'Approved Tariffs'!$E21+IF($D37="CS",'Approved Tariffs'!$E$40)</f>
        <v>1.0186205214361272</v>
      </c>
      <c r="J37" s="36">
        <f>(((IF($B$8=1,'Approved Tariffs'!$N21,IF($B$8=2,'Approved Tariffs'!$O21,IF($B$8=3,'Approved Tariffs'!$P21,IF($B$8=5,'Approved Tariffs'!$Q21,0))))*J$24))/$E$20)+'Approved Tariffs'!$E21+IF($D37="CS",'Approved Tariffs'!$E$40)</f>
        <v>1.0109354779831166</v>
      </c>
      <c r="K37" s="36">
        <f>(((IF($B$8=1,'Approved Tariffs'!$N21,IF($B$8=2,'Approved Tariffs'!$O21,IF($B$8=3,'Approved Tariffs'!$P21,IF($B$8=5,'Approved Tariffs'!$Q21,0))))*K$24))/$E$20)+'Approved Tariffs'!$E21+IF($D37="CS",'Approved Tariffs'!$E$40)</f>
        <v>1.0044327489074922</v>
      </c>
      <c r="L37" s="36">
        <f>(((IF($B$8=1,'Approved Tariffs'!$N21,IF($B$8=2,'Approved Tariffs'!$O21,IF($B$8=3,'Approved Tariffs'!$P21,IF($B$8=5,'Approved Tariffs'!$Q21,0))))*L$24))/$E$20)+'Approved Tariffs'!$E21+IF($D37="CS",'Approved Tariffs'!$E$40)</f>
        <v>0.9988589811283856</v>
      </c>
      <c r="M37" s="36">
        <f>(((IF($B$8=1,'Approved Tariffs'!$N21,IF($B$8=2,'Approved Tariffs'!$O21,IF($B$8=3,'Approved Tariffs'!$P21,IF($B$8=5,'Approved Tariffs'!$Q21,0))))*M$24))/$E$20)+'Approved Tariffs'!$E21+IF($D37="CS",'Approved Tariffs'!$E$40)</f>
        <v>0.9940283823864933</v>
      </c>
      <c r="N37" s="36">
        <f>(((IF($B$8=1,'Approved Tariffs'!$N21,IF($B$8=2,'Approved Tariffs'!$O21,IF($B$8=3,'Approved Tariffs'!$P21,IF($B$8=5,'Approved Tariffs'!$Q21,0))))*N$24))/$E$20)+'Approved Tariffs'!$E21+IF($D37="CS",'Approved Tariffs'!$E$40)</f>
        <v>0.9898016084873374</v>
      </c>
      <c r="O37" s="36">
        <f>(((IF($B$8=1,'Approved Tariffs'!$N21,IF($B$8=2,'Approved Tariffs'!$O21,IF($B$8=3,'Approved Tariffs'!$P21,IF($B$8=5,'Approved Tariffs'!$Q21,0))))*O$24))/$E$20)+'Approved Tariffs'!$E21+IF($D37="CS",'Approved Tariffs'!$E$40)</f>
        <v>0.9860721021057294</v>
      </c>
      <c r="P37" s="37">
        <f>(((IF($B$8=1,'Approved Tariffs'!$N21,IF($B$8=2,'Approved Tariffs'!$O21,IF($B$8=3,'Approved Tariffs'!$P21,IF($B$8=5,'Approved Tariffs'!$Q21,0))))*P$24))/$E$20)+'Approved Tariffs'!$E21+IF($D37="CS",'Approved Tariffs'!$E$40)</f>
        <v>0.9827569853220777</v>
      </c>
      <c r="Q37" s="109"/>
    </row>
    <row r="38" spans="2:17" ht="15.75">
      <c r="B38" s="5">
        <v>10</v>
      </c>
      <c r="C38" s="3" t="s">
        <v>21</v>
      </c>
      <c r="D38" s="143"/>
      <c r="E38" s="34">
        <f>(((IF($B$8=1,'Approved Tariffs'!$N22,IF($B$8=2,'Approved Tariffs'!$O22,IF($B$8=3,'Approved Tariffs'!$P22,IF($B$8=5,'Approved Tariffs'!$Q22,0))))*IF(F$24="",E$24,F$24)))/$E$20)+'Approved Tariffs'!$E22+IF($D38="CS",'Approved Tariffs'!$E$40)</f>
        <v>0.71753548455575</v>
      </c>
      <c r="F38" s="101">
        <f>IF($B$8=2," Matched","")</f>
      </c>
      <c r="G38" s="87"/>
      <c r="H38" s="35">
        <f>(((IF($B$8=1,'Approved Tariffs'!$N22,IF($B$8=2,'Approved Tariffs'!$O22,IF($B$8=3,'Approved Tariffs'!$P22,IF($B$8=5,'Approved Tariffs'!$Q22,0))))*H$24))/$E$20)+'Approved Tariffs'!$E22+IF($D38="CS",'Approved Tariffs'!$E$40)</f>
        <v>0.73444257357974</v>
      </c>
      <c r="I38" s="36">
        <f>(((IF($B$8=1,'Approved Tariffs'!$N22,IF($B$8=2,'Approved Tariffs'!$O22,IF($B$8=3,'Approved Tariffs'!$P22,IF($B$8=5,'Approved Tariffs'!$Q22,0))))*I$24))/$E$20)+'Approved Tariffs'!$E22+IF($D38="CS",'Approved Tariffs'!$E$40)</f>
        <v>0.7252205214361271</v>
      </c>
      <c r="J38" s="36">
        <f>(((IF($B$8=1,'Approved Tariffs'!$N22,IF($B$8=2,'Approved Tariffs'!$O22,IF($B$8=3,'Approved Tariffs'!$P22,IF($B$8=5,'Approved Tariffs'!$Q22,0))))*J$24))/$E$20)+'Approved Tariffs'!$E22+IF($D38="CS",'Approved Tariffs'!$E$40)</f>
        <v>0.7175354779831166</v>
      </c>
      <c r="K38" s="36">
        <f>(((IF($B$8=1,'Approved Tariffs'!$N22,IF($B$8=2,'Approved Tariffs'!$O22,IF($B$8=3,'Approved Tariffs'!$P22,IF($B$8=5,'Approved Tariffs'!$Q22,0))))*K$24))/$E$20)+'Approved Tariffs'!$E22+IF($D38="CS",'Approved Tariffs'!$E$40)</f>
        <v>0.7110327489074922</v>
      </c>
      <c r="L38" s="36">
        <f>(((IF($B$8=1,'Approved Tariffs'!$N22,IF($B$8=2,'Approved Tariffs'!$O22,IF($B$8=3,'Approved Tariffs'!$P22,IF($B$8=5,'Approved Tariffs'!$Q22,0))))*L$24))/$E$20)+'Approved Tariffs'!$E22+IF($D38="CS",'Approved Tariffs'!$E$40)</f>
        <v>0.7054589811283856</v>
      </c>
      <c r="M38" s="36">
        <f>(((IF($B$8=1,'Approved Tariffs'!$N22,IF($B$8=2,'Approved Tariffs'!$O22,IF($B$8=3,'Approved Tariffs'!$P22,IF($B$8=5,'Approved Tariffs'!$Q22,0))))*M$24))/$E$20)+'Approved Tariffs'!$E22+IF($D38="CS",'Approved Tariffs'!$E$40)</f>
        <v>0.7006283823864933</v>
      </c>
      <c r="N38" s="36">
        <f>(((IF($B$8=1,'Approved Tariffs'!$N22,IF($B$8=2,'Approved Tariffs'!$O22,IF($B$8=3,'Approved Tariffs'!$P22,IF($B$8=5,'Approved Tariffs'!$Q22,0))))*N$24))/$E$20)+'Approved Tariffs'!$E22+IF($D38="CS",'Approved Tariffs'!$E$40)</f>
        <v>0.6964016084873375</v>
      </c>
      <c r="O38" s="36">
        <f>(((IF($B$8=1,'Approved Tariffs'!$N22,IF($B$8=2,'Approved Tariffs'!$O22,IF($B$8=3,'Approved Tariffs'!$P22,IF($B$8=5,'Approved Tariffs'!$Q22,0))))*O$24))/$E$20)+'Approved Tariffs'!$E22+IF($D38="CS",'Approved Tariffs'!$E$40)</f>
        <v>0.6926721021057294</v>
      </c>
      <c r="P38" s="37">
        <f>(((IF($B$8=1,'Approved Tariffs'!$N22,IF($B$8=2,'Approved Tariffs'!$O22,IF($B$8=3,'Approved Tariffs'!$P22,IF($B$8=5,'Approved Tariffs'!$Q22,0))))*P$24))/$E$20)+'Approved Tariffs'!$E22+IF($D38="CS",'Approved Tariffs'!$E$40)</f>
        <v>0.6893569853220777</v>
      </c>
      <c r="Q38" s="109"/>
    </row>
    <row r="39" spans="2:17" ht="15.75">
      <c r="B39" s="5">
        <v>11</v>
      </c>
      <c r="C39" s="3" t="s">
        <v>22</v>
      </c>
      <c r="D39" s="143"/>
      <c r="E39" s="34">
        <f>(((IF($B$8=1,'Approved Tariffs'!$N23,IF($B$8=2,'Approved Tariffs'!$O23,IF($B$8=3,'Approved Tariffs'!$P23,IF($B$8=5,'Approved Tariffs'!$Q23,0))))*IF(F$24="",E$24,F$24)))/$E$20)+'Approved Tariffs'!$E23+IF($D39="CS",'Approved Tariffs'!$E$40)</f>
        <v>0.89543548455575</v>
      </c>
      <c r="F39" s="101">
        <f>IF($B$8=2," Matched","")</f>
      </c>
      <c r="G39" s="87"/>
      <c r="H39" s="35">
        <f>(((IF($B$8=1,'Approved Tariffs'!$N23,IF($B$8=2,'Approved Tariffs'!$O23,IF($B$8=3,'Approved Tariffs'!$P23,IF($B$8=5,'Approved Tariffs'!$Q23,0))))*H$24))/$E$20)+'Approved Tariffs'!$E23+IF($D39="CS",'Approved Tariffs'!$E$40)</f>
        <v>0.9123425735797399</v>
      </c>
      <c r="I39" s="36">
        <f>(((IF($B$8=1,'Approved Tariffs'!$N23,IF($B$8=2,'Approved Tariffs'!$O23,IF($B$8=3,'Approved Tariffs'!$P23,IF($B$8=5,'Approved Tariffs'!$Q23,0))))*I$24))/$E$20)+'Approved Tariffs'!$E23+IF($D39="CS",'Approved Tariffs'!$E$40)</f>
        <v>0.9031205214361271</v>
      </c>
      <c r="J39" s="36">
        <f>(((IF($B$8=1,'Approved Tariffs'!$N23,IF($B$8=2,'Approved Tariffs'!$O23,IF($B$8=3,'Approved Tariffs'!$P23,IF($B$8=5,'Approved Tariffs'!$Q23,0))))*J$24))/$E$20)+'Approved Tariffs'!$E23+IF($D39="CS",'Approved Tariffs'!$E$40)</f>
        <v>0.8954354779831165</v>
      </c>
      <c r="K39" s="36">
        <f>(((IF($B$8=1,'Approved Tariffs'!$N23,IF($B$8=2,'Approved Tariffs'!$O23,IF($B$8=3,'Approved Tariffs'!$P23,IF($B$8=5,'Approved Tariffs'!$Q23,0))))*K$24))/$E$20)+'Approved Tariffs'!$E23+IF($D39="CS",'Approved Tariffs'!$E$40)</f>
        <v>0.8889327489074922</v>
      </c>
      <c r="L39" s="36">
        <f>(((IF($B$8=1,'Approved Tariffs'!$N23,IF($B$8=2,'Approved Tariffs'!$O23,IF($B$8=3,'Approved Tariffs'!$P23,IF($B$8=5,'Approved Tariffs'!$Q23,0))))*L$24))/$E$20)+'Approved Tariffs'!$E23+IF($D39="CS",'Approved Tariffs'!$E$40)</f>
        <v>0.8833589811283855</v>
      </c>
      <c r="M39" s="36">
        <f>(((IF($B$8=1,'Approved Tariffs'!$N23,IF($B$8=2,'Approved Tariffs'!$O23,IF($B$8=3,'Approved Tariffs'!$P23,IF($B$8=5,'Approved Tariffs'!$Q23,0))))*M$24))/$E$20)+'Approved Tariffs'!$E23+IF($D39="CS",'Approved Tariffs'!$E$40)</f>
        <v>0.8785283823864932</v>
      </c>
      <c r="N39" s="36">
        <f>(((IF($B$8=1,'Approved Tariffs'!$N23,IF($B$8=2,'Approved Tariffs'!$O23,IF($B$8=3,'Approved Tariffs'!$P23,IF($B$8=5,'Approved Tariffs'!$Q23,0))))*N$24))/$E$20)+'Approved Tariffs'!$E23+IF($D39="CS",'Approved Tariffs'!$E$40)</f>
        <v>0.8743016084873374</v>
      </c>
      <c r="O39" s="36">
        <f>(((IF($B$8=1,'Approved Tariffs'!$N23,IF($B$8=2,'Approved Tariffs'!$O23,IF($B$8=3,'Approved Tariffs'!$P23,IF($B$8=5,'Approved Tariffs'!$Q23,0))))*O$24))/$E$20)+'Approved Tariffs'!$E23+IF($D39="CS",'Approved Tariffs'!$E$40)</f>
        <v>0.8705721021057293</v>
      </c>
      <c r="P39" s="37">
        <f>(((IF($B$8=1,'Approved Tariffs'!$N23,IF($B$8=2,'Approved Tariffs'!$O23,IF($B$8=3,'Approved Tariffs'!$P23,IF($B$8=5,'Approved Tariffs'!$Q23,0))))*P$24))/$E$20)+'Approved Tariffs'!$E23+IF($D39="CS",'Approved Tariffs'!$E$40)</f>
        <v>0.8672569853220776</v>
      </c>
      <c r="Q39" s="109"/>
    </row>
    <row r="40" spans="2:17" ht="15.75">
      <c r="B40" s="5">
        <v>13</v>
      </c>
      <c r="C40" s="3" t="s">
        <v>23</v>
      </c>
      <c r="D40" s="143" t="str">
        <f>IF(OR($B$8=1,$B$8=2,$B$8=5),"CS","")</f>
        <v>CS</v>
      </c>
      <c r="E40" s="34">
        <f>(((IF($B$8=1,'Approved Tariffs'!$N24,IF($B$8=2,'Approved Tariffs'!$O24,IF($B$8=3,'Approved Tariffs'!$P24,IF($B$8=5,'Approved Tariffs'!$Q24,0))))*IF(F$24="",E$24,F$24)))/$E$20)+'Approved Tariffs'!$E24+IF($D40="CS",'Approved Tariffs'!$E$40)</f>
        <v>0.43123548455575</v>
      </c>
      <c r="F40" s="87"/>
      <c r="G40" s="87"/>
      <c r="H40" s="35">
        <f>(((IF($B$8=1,'Approved Tariffs'!$N24,IF($B$8=2,'Approved Tariffs'!$O24,IF($B$8=3,'Approved Tariffs'!$P24,IF($B$8=5,'Approved Tariffs'!$Q24,0))))*H$24))/$E$20)+'Approved Tariffs'!$E24+IF($D40="CS",'Approved Tariffs'!$E$40)</f>
        <v>0.44814257357973986</v>
      </c>
      <c r="I40" s="36">
        <f>(((IF($B$8=1,'Approved Tariffs'!$N24,IF($B$8=2,'Approved Tariffs'!$O24,IF($B$8=3,'Approved Tariffs'!$P24,IF($B$8=5,'Approved Tariffs'!$Q24,0))))*I$24))/$E$20)+'Approved Tariffs'!$E24+IF($D40="CS",'Approved Tariffs'!$E$40)</f>
        <v>0.43892052143612714</v>
      </c>
      <c r="J40" s="36">
        <f>(((IF($B$8=1,'Approved Tariffs'!$N24,IF($B$8=2,'Approved Tariffs'!$O24,IF($B$8=3,'Approved Tariffs'!$P24,IF($B$8=5,'Approved Tariffs'!$Q24,0))))*J$24))/$E$20)+'Approved Tariffs'!$E24+IF($D40="CS",'Approved Tariffs'!$E$40)</f>
        <v>0.43123547798311657</v>
      </c>
      <c r="K40" s="36">
        <f>(((IF($B$8=1,'Approved Tariffs'!$N24,IF($B$8=2,'Approved Tariffs'!$O24,IF($B$8=3,'Approved Tariffs'!$P24,IF($B$8=5,'Approved Tariffs'!$Q24,0))))*K$24))/$E$20)+'Approved Tariffs'!$E24+IF($D40="CS",'Approved Tariffs'!$E$40)</f>
        <v>0.4247327489074922</v>
      </c>
      <c r="L40" s="36">
        <f>(((IF($B$8=1,'Approved Tariffs'!$N24,IF($B$8=2,'Approved Tariffs'!$O24,IF($B$8=3,'Approved Tariffs'!$P24,IF($B$8=5,'Approved Tariffs'!$Q24,0))))*L$24))/$E$20)+'Approved Tariffs'!$E24+IF($D40="CS",'Approved Tariffs'!$E$40)</f>
        <v>0.41915898112838557</v>
      </c>
      <c r="M40" s="36">
        <f>(((IF($B$8=1,'Approved Tariffs'!$N24,IF($B$8=2,'Approved Tariffs'!$O24,IF($B$8=3,'Approved Tariffs'!$P24,IF($B$8=5,'Approved Tariffs'!$Q24,0))))*M$24))/$E$20)+'Approved Tariffs'!$E24+IF($D40="CS",'Approved Tariffs'!$E$40)</f>
        <v>0.4143283823864932</v>
      </c>
      <c r="N40" s="36">
        <f>(((IF($B$8=1,'Approved Tariffs'!$N24,IF($B$8=2,'Approved Tariffs'!$O24,IF($B$8=3,'Approved Tariffs'!$P24,IF($B$8=5,'Approved Tariffs'!$Q24,0))))*N$24))/$E$20)+'Approved Tariffs'!$E24+IF($D40="CS",'Approved Tariffs'!$E$40)</f>
        <v>0.41010160848733734</v>
      </c>
      <c r="O40" s="36">
        <f>(((IF($B$8=1,'Approved Tariffs'!$N24,IF($B$8=2,'Approved Tariffs'!$O24,IF($B$8=3,'Approved Tariffs'!$P24,IF($B$8=5,'Approved Tariffs'!$Q24,0))))*O$24))/$E$20)+'Approved Tariffs'!$E24+IF($D40="CS",'Approved Tariffs'!$E$40)</f>
        <v>0.40637210210572927</v>
      </c>
      <c r="P40" s="37">
        <f>(((IF($B$8=1,'Approved Tariffs'!$N24,IF($B$8=2,'Approved Tariffs'!$O24,IF($B$8=3,'Approved Tariffs'!$P24,IF($B$8=5,'Approved Tariffs'!$Q24,0))))*P$24))/$E$20)+'Approved Tariffs'!$E24+IF($D40="CS",'Approved Tariffs'!$E$40)</f>
        <v>0.4030569853220777</v>
      </c>
      <c r="Q40" s="109"/>
    </row>
    <row r="41" spans="2:17" ht="15.75">
      <c r="B41" s="5">
        <v>17</v>
      </c>
      <c r="C41" s="3" t="s">
        <v>24</v>
      </c>
      <c r="D41" s="143"/>
      <c r="E41" s="34">
        <f>(((IF($B$8=1,'Approved Tariffs'!$N25,IF($B$8=2,'Approved Tariffs'!$O25,IF($B$8=3,'Approved Tariffs'!$P25,IF($B$8=5,'Approved Tariffs'!$Q25,0))))*IF(F$24="",E$24,F$24)))/$E$20)+'Approved Tariffs'!$E25+IF($D41="CS",'Approved Tariffs'!$E$40)</f>
        <v>0.96843548455575</v>
      </c>
      <c r="F41" s="101">
        <f>IF($B$8=2," Matched","")</f>
      </c>
      <c r="G41" s="87"/>
      <c r="H41" s="35">
        <f>(((IF($B$8=1,'Approved Tariffs'!$N25,IF($B$8=2,'Approved Tariffs'!$O25,IF($B$8=3,'Approved Tariffs'!$P25,IF($B$8=5,'Approved Tariffs'!$Q25,0))))*H$24))/$E$20)+'Approved Tariffs'!$E25+IF($D41="CS",'Approved Tariffs'!$E$40)</f>
        <v>0.9853425735797399</v>
      </c>
      <c r="I41" s="36">
        <f>(((IF($B$8=1,'Approved Tariffs'!$N25,IF($B$8=2,'Approved Tariffs'!$O25,IF($B$8=3,'Approved Tariffs'!$P25,IF($B$8=5,'Approved Tariffs'!$Q25,0))))*I$24))/$E$20)+'Approved Tariffs'!$E25+IF($D41="CS",'Approved Tariffs'!$E$40)</f>
        <v>0.9761205214361272</v>
      </c>
      <c r="J41" s="36">
        <f>(((IF($B$8=1,'Approved Tariffs'!$N25,IF($B$8=2,'Approved Tariffs'!$O25,IF($B$8=3,'Approved Tariffs'!$P25,IF($B$8=5,'Approved Tariffs'!$Q25,0))))*J$24))/$E$20)+'Approved Tariffs'!$E25+IF($D41="CS",'Approved Tariffs'!$E$40)</f>
        <v>0.9684354779831166</v>
      </c>
      <c r="K41" s="36">
        <f>(((IF($B$8=1,'Approved Tariffs'!$N25,IF($B$8=2,'Approved Tariffs'!$O25,IF($B$8=3,'Approved Tariffs'!$P25,IF($B$8=5,'Approved Tariffs'!$Q25,0))))*K$24))/$E$20)+'Approved Tariffs'!$E25+IF($D41="CS",'Approved Tariffs'!$E$40)</f>
        <v>0.9619327489074923</v>
      </c>
      <c r="L41" s="36">
        <f>(((IF($B$8=1,'Approved Tariffs'!$N25,IF($B$8=2,'Approved Tariffs'!$O25,IF($B$8=3,'Approved Tariffs'!$P25,IF($B$8=5,'Approved Tariffs'!$Q25,0))))*L$24))/$E$20)+'Approved Tariffs'!$E25+IF($D41="CS",'Approved Tariffs'!$E$40)</f>
        <v>0.9563589811283857</v>
      </c>
      <c r="M41" s="36">
        <f>(((IF($B$8=1,'Approved Tariffs'!$N25,IF($B$8=2,'Approved Tariffs'!$O25,IF($B$8=3,'Approved Tariffs'!$P25,IF($B$8=5,'Approved Tariffs'!$Q25,0))))*M$24))/$E$20)+'Approved Tariffs'!$E25+IF($D41="CS",'Approved Tariffs'!$E$40)</f>
        <v>0.9515283823864933</v>
      </c>
      <c r="N41" s="36">
        <f>(((IF($B$8=1,'Approved Tariffs'!$N25,IF($B$8=2,'Approved Tariffs'!$O25,IF($B$8=3,'Approved Tariffs'!$P25,IF($B$8=5,'Approved Tariffs'!$Q25,0))))*N$24))/$E$20)+'Approved Tariffs'!$E25+IF($D41="CS",'Approved Tariffs'!$E$40)</f>
        <v>0.9473016084873375</v>
      </c>
      <c r="O41" s="36">
        <f>(((IF($B$8=1,'Approved Tariffs'!$N25,IF($B$8=2,'Approved Tariffs'!$O25,IF($B$8=3,'Approved Tariffs'!$P25,IF($B$8=5,'Approved Tariffs'!$Q25,0))))*O$24))/$E$20)+'Approved Tariffs'!$E25+IF($D41="CS",'Approved Tariffs'!$E$40)</f>
        <v>0.9435721021057294</v>
      </c>
      <c r="P41" s="37">
        <f>(((IF($B$8=1,'Approved Tariffs'!$N25,IF($B$8=2,'Approved Tariffs'!$O25,IF($B$8=3,'Approved Tariffs'!$P25,IF($B$8=5,'Approved Tariffs'!$Q25,0))))*P$24))/$E$20)+'Approved Tariffs'!$E25+IF($D41="CS",'Approved Tariffs'!$E$40)</f>
        <v>0.9402569853220777</v>
      </c>
      <c r="Q41" s="109"/>
    </row>
    <row r="42" spans="2:17" ht="15.75">
      <c r="B42" s="5">
        <v>18</v>
      </c>
      <c r="C42" s="3" t="s">
        <v>25</v>
      </c>
      <c r="D42" s="143">
        <f>IF(OR($B$8=2,$B$8=3),"CS","")</f>
      </c>
      <c r="E42" s="34">
        <f>(((IF($B$8=1,'Approved Tariffs'!$N26,IF($B$8=2,'Approved Tariffs'!$O26,IF($B$8=3,'Approved Tariffs'!$P26,IF($B$8=5,'Approved Tariffs'!$Q26,0))))*IF(F$24="",E$24,F$24)))/$E$20)+'Approved Tariffs'!$E26+IF($D42="CS",'Approved Tariffs'!$E$40)</f>
        <v>0.22629847322475</v>
      </c>
      <c r="F42" s="87"/>
      <c r="G42" s="87"/>
      <c r="H42" s="35">
        <f>(((IF($B$8=1,'Approved Tariffs'!$N26,IF($B$8=2,'Approved Tariffs'!$O26,IF($B$8=3,'Approved Tariffs'!$P26,IF($B$8=5,'Approved Tariffs'!$Q26,0))))*H$24))/$E$20)+'Approved Tariffs'!$E26+IF($D42="CS",'Approved Tariffs'!$E$40)</f>
        <v>0.2310781656399726</v>
      </c>
      <c r="I42" s="36">
        <f>(((IF($B$8=1,'Approved Tariffs'!$N26,IF($B$8=2,'Approved Tariffs'!$O26,IF($B$8=3,'Approved Tariffs'!$P26,IF($B$8=5,'Approved Tariffs'!$Q26,0))))*I$24))/$E$20)+'Approved Tariffs'!$E26+IF($D42="CS",'Approved Tariffs'!$E$40)</f>
        <v>0.22847105967270237</v>
      </c>
      <c r="J42" s="36">
        <f>(((IF($B$8=1,'Approved Tariffs'!$N26,IF($B$8=2,'Approved Tariffs'!$O26,IF($B$8=3,'Approved Tariffs'!$P26,IF($B$8=5,'Approved Tariffs'!$Q26,0))))*J$24))/$E$20)+'Approved Tariffs'!$E26+IF($D42="CS",'Approved Tariffs'!$E$40)</f>
        <v>0.22629847136664386</v>
      </c>
      <c r="K42" s="36">
        <f>(((IF($B$8=1,'Approved Tariffs'!$N26,IF($B$8=2,'Approved Tariffs'!$O26,IF($B$8=3,'Approved Tariffs'!$P26,IF($B$8=5,'Approved Tariffs'!$Q26,0))))*K$24))/$E$20)+'Approved Tariffs'!$E26+IF($D42="CS",'Approved Tariffs'!$E$40)</f>
        <v>0.22446012741536353</v>
      </c>
      <c r="L42" s="36">
        <f>(((IF($B$8=1,'Approved Tariffs'!$N26,IF($B$8=2,'Approved Tariffs'!$O26,IF($B$8=3,'Approved Tariffs'!$P26,IF($B$8=5,'Approved Tariffs'!$Q26,0))))*L$24))/$E$20)+'Approved Tariffs'!$E26+IF($D42="CS",'Approved Tariffs'!$E$40)</f>
        <v>0.22288440402855186</v>
      </c>
      <c r="M42" s="36">
        <f>(((IF($B$8=1,'Approved Tariffs'!$N26,IF($B$8=2,'Approved Tariffs'!$O26,IF($B$8=3,'Approved Tariffs'!$P26,IF($B$8=5,'Approved Tariffs'!$Q26,0))))*M$24))/$E$20)+'Approved Tariffs'!$E26+IF($D42="CS",'Approved Tariffs'!$E$40)</f>
        <v>0.22151877709331508</v>
      </c>
      <c r="N42" s="36">
        <f>(((IF($B$8=1,'Approved Tariffs'!$N26,IF($B$8=2,'Approved Tariffs'!$O26,IF($B$8=3,'Approved Tariffs'!$P26,IF($B$8=5,'Approved Tariffs'!$Q26,0))))*N$24))/$E$20)+'Approved Tariffs'!$E26+IF($D42="CS",'Approved Tariffs'!$E$40)</f>
        <v>0.22032385352498288</v>
      </c>
      <c r="O42" s="36">
        <f>(((IF($B$8=1,'Approved Tariffs'!$N26,IF($B$8=2,'Approved Tariffs'!$O26,IF($B$8=3,'Approved Tariffs'!$P26,IF($B$8=5,'Approved Tariffs'!$Q26,0))))*O$24))/$E$20)+'Approved Tariffs'!$E26+IF($D42="CS",'Approved Tariffs'!$E$40)</f>
        <v>0.2192695091999839</v>
      </c>
      <c r="P42" s="37">
        <f>(((IF($B$8=1,'Approved Tariffs'!$N26,IF($B$8=2,'Approved Tariffs'!$O26,IF($B$8=3,'Approved Tariffs'!$P26,IF($B$8=5,'Approved Tariffs'!$Q26,0))))*P$24))/$E$20)+'Approved Tariffs'!$E26+IF($D42="CS",'Approved Tariffs'!$E$40)</f>
        <v>0.21833231424442923</v>
      </c>
      <c r="Q42" s="109"/>
    </row>
    <row r="43" spans="2:17" ht="15.75">
      <c r="B43" s="5">
        <v>19</v>
      </c>
      <c r="C43" s="3" t="s">
        <v>28</v>
      </c>
      <c r="D43" s="143"/>
      <c r="E43" s="34">
        <f>(((IF($B$8=1,'Approved Tariffs'!$N27,IF($B$8=2,'Approved Tariffs'!$O27,IF($B$8=3,'Approved Tariffs'!$P27,IF($B$8=5,'Approved Tariffs'!$Q27,0))))*IF(F$24="",E$24,F$24)))/$E$20)+'Approved Tariffs'!$E27+IF($D43="CS",'Approved Tariffs'!$E$40)</f>
        <v>0.92353548455575</v>
      </c>
      <c r="F43" s="101">
        <f>IF($B$8=2," Matched","")</f>
      </c>
      <c r="G43" s="87"/>
      <c r="H43" s="35">
        <f>(((IF($B$8=1,'Approved Tariffs'!$N27,IF($B$8=2,'Approved Tariffs'!$O27,IF($B$8=3,'Approved Tariffs'!$P27,IF($B$8=5,'Approved Tariffs'!$Q27,0))))*H$24))/$E$20)+'Approved Tariffs'!$E27+IF($D43="CS",'Approved Tariffs'!$E$40)</f>
        <v>0.9404425735797399</v>
      </c>
      <c r="I43" s="36">
        <f>(((IF($B$8=1,'Approved Tariffs'!$N27,IF($B$8=2,'Approved Tariffs'!$O27,IF($B$8=3,'Approved Tariffs'!$P27,IF($B$8=5,'Approved Tariffs'!$Q27,0))))*I$24))/$E$20)+'Approved Tariffs'!$E27+IF($D43="CS",'Approved Tariffs'!$E$40)</f>
        <v>0.9312205214361271</v>
      </c>
      <c r="J43" s="36">
        <f>(((IF($B$8=1,'Approved Tariffs'!$N27,IF($B$8=2,'Approved Tariffs'!$O27,IF($B$8=3,'Approved Tariffs'!$P27,IF($B$8=5,'Approved Tariffs'!$Q27,0))))*J$24))/$E$20)+'Approved Tariffs'!$E27+IF($D43="CS",'Approved Tariffs'!$E$40)</f>
        <v>0.9235354779831165</v>
      </c>
      <c r="K43" s="36">
        <f>(((IF($B$8=1,'Approved Tariffs'!$N27,IF($B$8=2,'Approved Tariffs'!$O27,IF($B$8=3,'Approved Tariffs'!$P27,IF($B$8=5,'Approved Tariffs'!$Q27,0))))*K$24))/$E$20)+'Approved Tariffs'!$E27+IF($D43="CS",'Approved Tariffs'!$E$40)</f>
        <v>0.9170327489074922</v>
      </c>
      <c r="L43" s="36">
        <f>(((IF($B$8=1,'Approved Tariffs'!$N27,IF($B$8=2,'Approved Tariffs'!$O27,IF($B$8=3,'Approved Tariffs'!$P27,IF($B$8=5,'Approved Tariffs'!$Q27,0))))*L$24))/$E$20)+'Approved Tariffs'!$E27+IF($D43="CS",'Approved Tariffs'!$E$40)</f>
        <v>0.9114589811283855</v>
      </c>
      <c r="M43" s="36">
        <f>(((IF($B$8=1,'Approved Tariffs'!$N27,IF($B$8=2,'Approved Tariffs'!$O27,IF($B$8=3,'Approved Tariffs'!$P27,IF($B$8=5,'Approved Tariffs'!$Q27,0))))*M$24))/$E$20)+'Approved Tariffs'!$E27+IF($D43="CS",'Approved Tariffs'!$E$40)</f>
        <v>0.9066283823864932</v>
      </c>
      <c r="N43" s="36">
        <f>(((IF($B$8=1,'Approved Tariffs'!$N27,IF($B$8=2,'Approved Tariffs'!$O27,IF($B$8=3,'Approved Tariffs'!$P27,IF($B$8=5,'Approved Tariffs'!$Q27,0))))*N$24))/$E$20)+'Approved Tariffs'!$E27+IF($D43="CS",'Approved Tariffs'!$E$40)</f>
        <v>0.9024016084873374</v>
      </c>
      <c r="O43" s="36">
        <f>(((IF($B$8=1,'Approved Tariffs'!$N27,IF($B$8=2,'Approved Tariffs'!$O27,IF($B$8=3,'Approved Tariffs'!$P27,IF($B$8=5,'Approved Tariffs'!$Q27,0))))*O$24))/$E$20)+'Approved Tariffs'!$E27+IF($D43="CS",'Approved Tariffs'!$E$40)</f>
        <v>0.8986721021057293</v>
      </c>
      <c r="P43" s="37">
        <f>(((IF($B$8=1,'Approved Tariffs'!$N27,IF($B$8=2,'Approved Tariffs'!$O27,IF($B$8=3,'Approved Tariffs'!$P27,IF($B$8=5,'Approved Tariffs'!$Q27,0))))*P$24))/$E$20)+'Approved Tariffs'!$E27+IF($D43="CS",'Approved Tariffs'!$E$40)</f>
        <v>0.8953569853220776</v>
      </c>
      <c r="Q43" s="109"/>
    </row>
    <row r="44" spans="2:17" ht="15.75">
      <c r="B44" s="5">
        <v>20</v>
      </c>
      <c r="C44" s="98" t="s">
        <v>57</v>
      </c>
      <c r="D44" s="143"/>
      <c r="E44" s="34">
        <f>(((IF($B$8=1,'Approved Tariffs'!$N28,IF($B$8=2,'Approved Tariffs'!$O28,IF($B$8=3,'Approved Tariffs'!$P28,IF($B$8=5,'Approved Tariffs'!$Q28,0))))*IF(F$24="",E$24,F$24)))/$E$20)+'Approved Tariffs'!$E28+IF($D44="CS",'Approved Tariffs'!$E$40)</f>
        <v>0.43043548455575</v>
      </c>
      <c r="F44" s="101">
        <f>IF($B$8=5," Matched","")</f>
      </c>
      <c r="G44" s="87"/>
      <c r="H44" s="35">
        <f>(((IF($B$8=1,'Approved Tariffs'!$N28,IF($B$8=2,'Approved Tariffs'!$O28,IF($B$8=3,'Approved Tariffs'!$P28,IF($B$8=5,'Approved Tariffs'!$Q28,0))))*H$24))/$E$20)+'Approved Tariffs'!$E28+IF($D44="CS",'Approved Tariffs'!$E$40)</f>
        <v>0.4473425735797399</v>
      </c>
      <c r="I44" s="36">
        <f>(((IF($B$8=1,'Approved Tariffs'!$N28,IF($B$8=2,'Approved Tariffs'!$O28,IF($B$8=3,'Approved Tariffs'!$P28,IF($B$8=5,'Approved Tariffs'!$Q28,0))))*I$24))/$E$20)+'Approved Tariffs'!$E28+IF($D44="CS",'Approved Tariffs'!$E$40)</f>
        <v>0.4381205214361272</v>
      </c>
      <c r="J44" s="36">
        <f>(((IF($B$8=1,'Approved Tariffs'!$N28,IF($B$8=2,'Approved Tariffs'!$O28,IF($B$8=3,'Approved Tariffs'!$P28,IF($B$8=5,'Approved Tariffs'!$Q28,0))))*J$24))/$E$20)+'Approved Tariffs'!$E28+IF($D44="CS",'Approved Tariffs'!$E$40)</f>
        <v>0.43043547798311654</v>
      </c>
      <c r="K44" s="36">
        <f>(((IF($B$8=1,'Approved Tariffs'!$N28,IF($B$8=2,'Approved Tariffs'!$O28,IF($B$8=3,'Approved Tariffs'!$P28,IF($B$8=5,'Approved Tariffs'!$Q28,0))))*K$24))/$E$20)+'Approved Tariffs'!$E28+IF($D44="CS",'Approved Tariffs'!$E$40)</f>
        <v>0.4239327489074922</v>
      </c>
      <c r="L44" s="36">
        <f>(((IF($B$8=1,'Approved Tariffs'!$N28,IF($B$8=2,'Approved Tariffs'!$O28,IF($B$8=3,'Approved Tariffs'!$P28,IF($B$8=5,'Approved Tariffs'!$Q28,0))))*L$24))/$E$20)+'Approved Tariffs'!$E28+IF($D44="CS",'Approved Tariffs'!$E$40)</f>
        <v>0.4183589811283856</v>
      </c>
      <c r="M44" s="36">
        <f>(((IF($B$8=1,'Approved Tariffs'!$N28,IF($B$8=2,'Approved Tariffs'!$O28,IF($B$8=3,'Approved Tariffs'!$P28,IF($B$8=5,'Approved Tariffs'!$Q28,0))))*M$24))/$E$20)+'Approved Tariffs'!$E28+IF($D44="CS",'Approved Tariffs'!$E$40)</f>
        <v>0.41352838238649325</v>
      </c>
      <c r="N44" s="36">
        <f>(((IF($B$8=1,'Approved Tariffs'!$N28,IF($B$8=2,'Approved Tariffs'!$O28,IF($B$8=3,'Approved Tariffs'!$P28,IF($B$8=5,'Approved Tariffs'!$Q28,0))))*N$24))/$E$20)+'Approved Tariffs'!$E28+IF($D44="CS",'Approved Tariffs'!$E$40)</f>
        <v>0.4093016084873374</v>
      </c>
      <c r="O44" s="36">
        <f>(((IF($B$8=1,'Approved Tariffs'!$N28,IF($B$8=2,'Approved Tariffs'!$O28,IF($B$8=3,'Approved Tariffs'!$P28,IF($B$8=5,'Approved Tariffs'!$Q28,0))))*O$24))/$E$20)+'Approved Tariffs'!$E28+IF($D44="CS",'Approved Tariffs'!$E$40)</f>
        <v>0.4055721021057293</v>
      </c>
      <c r="P44" s="37">
        <f>(((IF($B$8=1,'Approved Tariffs'!$N28,IF($B$8=2,'Approved Tariffs'!$O28,IF($B$8=3,'Approved Tariffs'!$P28,IF($B$8=5,'Approved Tariffs'!$Q28,0))))*P$24))/$E$20)+'Approved Tariffs'!$E28+IF($D44="CS",'Approved Tariffs'!$E$40)</f>
        <v>0.40225698532207765</v>
      </c>
      <c r="Q44" s="109"/>
    </row>
    <row r="45" spans="2:17" ht="15.75">
      <c r="B45" s="5">
        <v>21</v>
      </c>
      <c r="C45" s="3" t="s">
        <v>26</v>
      </c>
      <c r="D45" s="143" t="str">
        <f>IF(OR($B$8=1,$B$8=2,$B$8=5),"CS","")</f>
        <v>CS</v>
      </c>
      <c r="E45" s="34">
        <f>(((IF($B$8=1,'Approved Tariffs'!$N29,IF($B$8=2,'Approved Tariffs'!$O29,IF($B$8=3,'Approved Tariffs'!$P29,IF($B$8=5,'Approved Tariffs'!$Q29,0))))*IF(F$24="",E$24,F$24)))/$E$20)+'Approved Tariffs'!$E29+IF($D45="CS",'Approved Tariffs'!$E$40)</f>
        <v>0.37813548455574997</v>
      </c>
      <c r="F45" s="87"/>
      <c r="G45" s="87"/>
      <c r="H45" s="35">
        <f>(((IF($B$8=1,'Approved Tariffs'!$N29,IF($B$8=2,'Approved Tariffs'!$O29,IF($B$8=3,'Approved Tariffs'!$P29,IF($B$8=5,'Approved Tariffs'!$Q29,0))))*H$24))/$E$20)+'Approved Tariffs'!$E29+IF($D45="CS",'Approved Tariffs'!$E$40)</f>
        <v>0.39504257357973993</v>
      </c>
      <c r="I45" s="36">
        <f>(((IF($B$8=1,'Approved Tariffs'!$N29,IF($B$8=2,'Approved Tariffs'!$O29,IF($B$8=3,'Approved Tariffs'!$P29,IF($B$8=5,'Approved Tariffs'!$Q29,0))))*I$24))/$E$20)+'Approved Tariffs'!$E29+IF($D45="CS",'Approved Tariffs'!$E$40)</f>
        <v>0.38582052143612716</v>
      </c>
      <c r="J45" s="36">
        <f>(((IF($B$8=1,'Approved Tariffs'!$N29,IF($B$8=2,'Approved Tariffs'!$O29,IF($B$8=3,'Approved Tariffs'!$P29,IF($B$8=5,'Approved Tariffs'!$Q29,0))))*J$24))/$E$20)+'Approved Tariffs'!$E29+IF($D45="CS",'Approved Tariffs'!$E$40)</f>
        <v>0.37813547798311653</v>
      </c>
      <c r="K45" s="36">
        <f>(((IF($B$8=1,'Approved Tariffs'!$N29,IF($B$8=2,'Approved Tariffs'!$O29,IF($B$8=3,'Approved Tariffs'!$P29,IF($B$8=5,'Approved Tariffs'!$Q29,0))))*K$24))/$E$20)+'Approved Tariffs'!$E29+IF($D45="CS",'Approved Tariffs'!$E$40)</f>
        <v>0.3716327489074922</v>
      </c>
      <c r="L45" s="36">
        <f>(((IF($B$8=1,'Approved Tariffs'!$N29,IF($B$8=2,'Approved Tariffs'!$O29,IF($B$8=3,'Approved Tariffs'!$P29,IF($B$8=5,'Approved Tariffs'!$Q29,0))))*L$24))/$E$20)+'Approved Tariffs'!$E29+IF($D45="CS",'Approved Tariffs'!$E$40)</f>
        <v>0.36605898112838564</v>
      </c>
      <c r="M45" s="36">
        <f>(((IF($B$8=1,'Approved Tariffs'!$N29,IF($B$8=2,'Approved Tariffs'!$O29,IF($B$8=3,'Approved Tariffs'!$P29,IF($B$8=5,'Approved Tariffs'!$Q29,0))))*M$24))/$E$20)+'Approved Tariffs'!$E29+IF($D45="CS",'Approved Tariffs'!$E$40)</f>
        <v>0.36122838238649324</v>
      </c>
      <c r="N45" s="36">
        <f>(((IF($B$8=1,'Approved Tariffs'!$N29,IF($B$8=2,'Approved Tariffs'!$O29,IF($B$8=3,'Approved Tariffs'!$P29,IF($B$8=5,'Approved Tariffs'!$Q29,0))))*N$24))/$E$20)+'Approved Tariffs'!$E29+IF($D45="CS",'Approved Tariffs'!$E$40)</f>
        <v>0.3570016084873374</v>
      </c>
      <c r="O45" s="36">
        <f>(((IF($B$8=1,'Approved Tariffs'!$N29,IF($B$8=2,'Approved Tariffs'!$O29,IF($B$8=3,'Approved Tariffs'!$P29,IF($B$8=5,'Approved Tariffs'!$Q29,0))))*O$24))/$E$20)+'Approved Tariffs'!$E29+IF($D45="CS",'Approved Tariffs'!$E$40)</f>
        <v>0.35327210210572935</v>
      </c>
      <c r="P45" s="37">
        <f>(((IF($B$8=1,'Approved Tariffs'!$N29,IF($B$8=2,'Approved Tariffs'!$O29,IF($B$8=3,'Approved Tariffs'!$P29,IF($B$8=5,'Approved Tariffs'!$Q29,0))))*P$24))/$E$20)+'Approved Tariffs'!$E29+IF($D45="CS",'Approved Tariffs'!$E$40)</f>
        <v>0.34995698532207764</v>
      </c>
      <c r="Q45" s="109"/>
    </row>
    <row r="46" spans="2:17" ht="15.75">
      <c r="B46" s="5">
        <v>22</v>
      </c>
      <c r="C46" s="88" t="s">
        <v>27</v>
      </c>
      <c r="D46" s="143" t="str">
        <f>IF(OR($B$8=1,$B$8=2,$B$8=5),"CS","")</f>
        <v>CS</v>
      </c>
      <c r="E46" s="38">
        <f>(((IF($B$8=1,'Approved Tariffs'!$N30,IF($B$8=2,'Approved Tariffs'!$O30,IF($B$8=3,'Approved Tariffs'!$P30,IF($B$8=5,'Approved Tariffs'!$Q30,0))))*IF(F$24="",E$24,F$24)))/$E$20)+'Approved Tariffs'!$E30+IF($D46="CS",'Approved Tariffs'!$E$40)</f>
        <v>0.50293548455575</v>
      </c>
      <c r="F46" s="87"/>
      <c r="G46" s="87"/>
      <c r="H46" s="35">
        <f>(((IF($B$8=1,'Approved Tariffs'!$N30,IF($B$8=2,'Approved Tariffs'!$O30,IF($B$8=3,'Approved Tariffs'!$P30,IF($B$8=5,'Approved Tariffs'!$Q30,0))))*H$24))/$E$20)+'Approved Tariffs'!$E30+IF($D46="CS",'Approved Tariffs'!$E$40)</f>
        <v>0.5198425735797398</v>
      </c>
      <c r="I46" s="36">
        <f>(((IF($B$8=1,'Approved Tariffs'!$N30,IF($B$8=2,'Approved Tariffs'!$O30,IF($B$8=3,'Approved Tariffs'!$P30,IF($B$8=5,'Approved Tariffs'!$Q30,0))))*I$24))/$E$20)+'Approved Tariffs'!$E30+IF($D46="CS",'Approved Tariffs'!$E$40)</f>
        <v>0.5106205214361271</v>
      </c>
      <c r="J46" s="36">
        <f>(((IF($B$8=1,'Approved Tariffs'!$N30,IF($B$8=2,'Approved Tariffs'!$O30,IF($B$8=3,'Approved Tariffs'!$P30,IF($B$8=5,'Approved Tariffs'!$Q30,0))))*J$24))/$E$20)+'Approved Tariffs'!$E30+IF($D46="CS",'Approved Tariffs'!$E$40)</f>
        <v>0.5029354779831166</v>
      </c>
      <c r="K46" s="36">
        <f>(((IF($B$8=1,'Approved Tariffs'!$N30,IF($B$8=2,'Approved Tariffs'!$O30,IF($B$8=3,'Approved Tariffs'!$P30,IF($B$8=5,'Approved Tariffs'!$Q30,0))))*K$24))/$E$20)+'Approved Tariffs'!$E30+IF($D46="CS",'Approved Tariffs'!$E$40)</f>
        <v>0.4964327489074922</v>
      </c>
      <c r="L46" s="36">
        <f>(((IF($B$8=1,'Approved Tariffs'!$N30,IF($B$8=2,'Approved Tariffs'!$O30,IF($B$8=3,'Approved Tariffs'!$P30,IF($B$8=5,'Approved Tariffs'!$Q30,0))))*L$24))/$E$20)+'Approved Tariffs'!$E30+IF($D46="CS",'Approved Tariffs'!$E$40)</f>
        <v>0.49085898112838555</v>
      </c>
      <c r="M46" s="36">
        <f>(((IF($B$8=1,'Approved Tariffs'!$N30,IF($B$8=2,'Approved Tariffs'!$O30,IF($B$8=3,'Approved Tariffs'!$P30,IF($B$8=5,'Approved Tariffs'!$Q30,0))))*M$24))/$E$20)+'Approved Tariffs'!$E30+IF($D46="CS",'Approved Tariffs'!$E$40)</f>
        <v>0.48602838238649326</v>
      </c>
      <c r="N46" s="36">
        <f>(((IF($B$8=1,'Approved Tariffs'!$N30,IF($B$8=2,'Approved Tariffs'!$O30,IF($B$8=3,'Approved Tariffs'!$P30,IF($B$8=5,'Approved Tariffs'!$Q30,0))))*N$24))/$E$20)+'Approved Tariffs'!$E30+IF($D46="CS",'Approved Tariffs'!$E$40)</f>
        <v>0.48180160848733744</v>
      </c>
      <c r="O46" s="36">
        <f>(((IF($B$8=1,'Approved Tariffs'!$N30,IF($B$8=2,'Approved Tariffs'!$O30,IF($B$8=3,'Approved Tariffs'!$P30,IF($B$8=5,'Approved Tariffs'!$Q30,0))))*O$24))/$E$20)+'Approved Tariffs'!$E30+IF($D46="CS",'Approved Tariffs'!$E$40)</f>
        <v>0.47807210210572937</v>
      </c>
      <c r="P46" s="37">
        <f>(((IF($B$8=1,'Approved Tariffs'!$N30,IF($B$8=2,'Approved Tariffs'!$O30,IF($B$8=3,'Approved Tariffs'!$P30,IF($B$8=5,'Approved Tariffs'!$Q30,0))))*P$24))/$E$20)+'Approved Tariffs'!$E30+IF($D46="CS",'Approved Tariffs'!$E$40)</f>
        <v>0.47475698532207766</v>
      </c>
      <c r="Q46" s="109"/>
    </row>
    <row r="47" spans="2:17" ht="15.75">
      <c r="B47" s="5">
        <v>23</v>
      </c>
      <c r="C47" s="3" t="s">
        <v>89</v>
      </c>
      <c r="D47" s="143"/>
      <c r="E47" s="38">
        <f>(((IF($B$8=1,'Approved Tariffs'!$N31,IF($B$8=2,'Approved Tariffs'!$O31,IF($B$8=3,'Approved Tariffs'!$P31,IF($B$8=5,'Approved Tariffs'!$Q31,0))))*IF(F$24="",E$24,F$24)))/$E$20)+'Approved Tariffs'!$E31+IF($D47="CS",'Approved Tariffs'!$E$40)</f>
        <v>0.14203548455575002</v>
      </c>
      <c r="F47" s="87" t="s">
        <v>92</v>
      </c>
      <c r="G47" s="87"/>
      <c r="H47" s="35">
        <f>(((IF($B$8=1,'Approved Tariffs'!$N31,IF($B$8=2,'Approved Tariffs'!$O31,IF($B$8=3,'Approved Tariffs'!$P31,IF($B$8=5,'Approved Tariffs'!$Q31,0))))*H$24))/$E$20)+'Approved Tariffs'!$E31+IF($D47="CS",'Approved Tariffs'!$E$40)</f>
        <v>0.1589425735797399</v>
      </c>
      <c r="I47" s="36">
        <f>(((IF($B$8=1,'Approved Tariffs'!$N31,IF($B$8=2,'Approved Tariffs'!$O31,IF($B$8=3,'Approved Tariffs'!$P31,IF($B$8=5,'Approved Tariffs'!$Q31,0))))*I$24))/$E$20)+'Approved Tariffs'!$E31+IF($D47="CS",'Approved Tariffs'!$E$40)</f>
        <v>0.14972052143612719</v>
      </c>
      <c r="J47" s="36">
        <f>(((IF($B$8=1,'Approved Tariffs'!$N31,IF($B$8=2,'Approved Tariffs'!$O31,IF($B$8=3,'Approved Tariffs'!$P31,IF($B$8=5,'Approved Tariffs'!$Q31,0))))*J$24))/$E$20)+'Approved Tariffs'!$E31+IF($D47="CS",'Approved Tariffs'!$E$40)</f>
        <v>0.14203547798311655</v>
      </c>
      <c r="K47" s="36">
        <f>(((IF($B$8=1,'Approved Tariffs'!$N31,IF($B$8=2,'Approved Tariffs'!$O31,IF($B$8=3,'Approved Tariffs'!$P31,IF($B$8=5,'Approved Tariffs'!$Q31,0))))*K$24))/$E$20)+'Approved Tariffs'!$E31+IF($D47="CS",'Approved Tariffs'!$E$40)</f>
        <v>0.1355327489074922</v>
      </c>
      <c r="L47" s="36">
        <f>(((IF($B$8=1,'Approved Tariffs'!$N31,IF($B$8=2,'Approved Tariffs'!$O31,IF($B$8=3,'Approved Tariffs'!$P31,IF($B$8=5,'Approved Tariffs'!$Q31,0))))*L$24))/$E$20)+'Approved Tariffs'!$E31+IF($D47="CS",'Approved Tariffs'!$E$40)</f>
        <v>0.1299589811283856</v>
      </c>
      <c r="M47" s="36">
        <f>(((IF($B$8=1,'Approved Tariffs'!$N31,IF($B$8=2,'Approved Tariffs'!$O31,IF($B$8=3,'Approved Tariffs'!$P31,IF($B$8=5,'Approved Tariffs'!$Q31,0))))*M$24))/$E$20)+'Approved Tariffs'!$E31+IF($D47="CS",'Approved Tariffs'!$E$40)</f>
        <v>0.12512838238649324</v>
      </c>
      <c r="N47" s="36">
        <f>(((IF($B$8=1,'Approved Tariffs'!$N31,IF($B$8=2,'Approved Tariffs'!$O31,IF($B$8=3,'Approved Tariffs'!$P31,IF($B$8=5,'Approved Tariffs'!$Q31,0))))*N$24))/$E$20)+'Approved Tariffs'!$E31+IF($D47="CS",'Approved Tariffs'!$E$40)</f>
        <v>0.12090160848733741</v>
      </c>
      <c r="O47" s="36">
        <f>(((IF($B$8=1,'Approved Tariffs'!$N31,IF($B$8=2,'Approved Tariffs'!$O31,IF($B$8=3,'Approved Tariffs'!$P31,IF($B$8=5,'Approved Tariffs'!$Q31,0))))*O$24))/$E$20)+'Approved Tariffs'!$E31+IF($D47="CS",'Approved Tariffs'!$E$40)</f>
        <v>0.11717210210572933</v>
      </c>
      <c r="P47" s="37">
        <f>(((IF($B$8=1,'Approved Tariffs'!$N31,IF($B$8=2,'Approved Tariffs'!$O31,IF($B$8=3,'Approved Tariffs'!$P31,IF($B$8=5,'Approved Tariffs'!$Q31,0))))*P$24))/$E$20)+'Approved Tariffs'!$E31+IF($D47="CS",'Approved Tariffs'!$E$40)</f>
        <v>0.11385698532207769</v>
      </c>
      <c r="Q47" s="109"/>
    </row>
    <row r="48" spans="2:17" ht="15.75">
      <c r="B48" s="5">
        <v>24</v>
      </c>
      <c r="C48" s="3" t="s">
        <v>98</v>
      </c>
      <c r="D48" s="143" t="str">
        <f>IF(OR($B$8=1,$B$8=2,$B$8=5),"CS","")</f>
        <v>CS</v>
      </c>
      <c r="E48" s="34">
        <f>(((IF($B$8=1,'Approved Tariffs'!$N32,IF($B$8=2,'Approved Tariffs'!$O32,IF($B$8=3,'Approved Tariffs'!$P32,IF($B$8=5,'Approved Tariffs'!$Q32,0))))*IF(F$24="",E$24,F$24)))/$E$20)+'Approved Tariffs'!$E32+IF($D48="CS",'Approved Tariffs'!$E$40)</f>
        <v>0.5185354845557499</v>
      </c>
      <c r="F48" s="87"/>
      <c r="G48" s="87"/>
      <c r="H48" s="35">
        <f>(((IF($B$8=1,'Approved Tariffs'!$N32,IF($B$8=2,'Approved Tariffs'!$O32,IF($B$8=3,'Approved Tariffs'!$P32,IF($B$8=5,'Approved Tariffs'!$Q32,0))))*H$24))/$E$20)+'Approved Tariffs'!$E32+IF($D48="CS",'Approved Tariffs'!$E$40)</f>
        <v>0.5354425735797399</v>
      </c>
      <c r="I48" s="36">
        <f>(((IF($B$8=1,'Approved Tariffs'!$N32,IF($B$8=2,'Approved Tariffs'!$O32,IF($B$8=3,'Approved Tariffs'!$P32,IF($B$8=5,'Approved Tariffs'!$Q32,0))))*I$24))/$E$20)+'Approved Tariffs'!$E32+IF($D48="CS",'Approved Tariffs'!$E$40)</f>
        <v>0.5262205214361272</v>
      </c>
      <c r="J48" s="36">
        <f>(((IF($B$8=1,'Approved Tariffs'!$N32,IF($B$8=2,'Approved Tariffs'!$O32,IF($B$8=3,'Approved Tariffs'!$P32,IF($B$8=5,'Approved Tariffs'!$Q32,0))))*J$24))/$E$20)+'Approved Tariffs'!$E32+IF($D48="CS",'Approved Tariffs'!$E$40)</f>
        <v>0.5185354779831165</v>
      </c>
      <c r="K48" s="36">
        <f>(((IF($B$8=1,'Approved Tariffs'!$N32,IF($B$8=2,'Approved Tariffs'!$O32,IF($B$8=3,'Approved Tariffs'!$P32,IF($B$8=5,'Approved Tariffs'!$Q32,0))))*K$24))/$E$20)+'Approved Tariffs'!$E32+IF($D48="CS",'Approved Tariffs'!$E$40)</f>
        <v>0.5120327489074922</v>
      </c>
      <c r="L48" s="36">
        <f>(((IF($B$8=1,'Approved Tariffs'!$N32,IF($B$8=2,'Approved Tariffs'!$O32,IF($B$8=3,'Approved Tariffs'!$P32,IF($B$8=5,'Approved Tariffs'!$Q32,0))))*L$24))/$E$20)+'Approved Tariffs'!$E32+IF($D48="CS",'Approved Tariffs'!$E$40)</f>
        <v>0.5064589811283856</v>
      </c>
      <c r="M48" s="36">
        <f>(((IF($B$8=1,'Approved Tariffs'!$N32,IF($B$8=2,'Approved Tariffs'!$O32,IF($B$8=3,'Approved Tariffs'!$P32,IF($B$8=5,'Approved Tariffs'!$Q32,0))))*M$24))/$E$20)+'Approved Tariffs'!$E32+IF($D48="CS",'Approved Tariffs'!$E$40)</f>
        <v>0.5016283823864932</v>
      </c>
      <c r="N48" s="36">
        <f>(((IF($B$8=1,'Approved Tariffs'!$N32,IF($B$8=2,'Approved Tariffs'!$O32,IF($B$8=3,'Approved Tariffs'!$P32,IF($B$8=5,'Approved Tariffs'!$Q32,0))))*N$24))/$E$20)+'Approved Tariffs'!$E32+IF($D48="CS",'Approved Tariffs'!$E$40)</f>
        <v>0.4974016084873374</v>
      </c>
      <c r="O48" s="36">
        <f>(((IF($B$8=1,'Approved Tariffs'!$N32,IF($B$8=2,'Approved Tariffs'!$O32,IF($B$8=3,'Approved Tariffs'!$P32,IF($B$8=5,'Approved Tariffs'!$Q32,0))))*O$24))/$E$20)+'Approved Tariffs'!$E32+IF($D48="CS",'Approved Tariffs'!$E$40)</f>
        <v>0.4936721021057293</v>
      </c>
      <c r="P48" s="37">
        <f>(((IF($B$8=1,'Approved Tariffs'!$N32,IF($B$8=2,'Approved Tariffs'!$O32,IF($B$8=3,'Approved Tariffs'!$P32,IF($B$8=5,'Approved Tariffs'!$Q32,0))))*P$24))/$E$20)+'Approved Tariffs'!$E32+IF($D48="CS",'Approved Tariffs'!$E$40)</f>
        <v>0.4903569853220776</v>
      </c>
      <c r="Q48" s="109"/>
    </row>
    <row r="49" spans="2:17" ht="15.75">
      <c r="B49" s="5">
        <v>25</v>
      </c>
      <c r="C49" s="88" t="s">
        <v>99</v>
      </c>
      <c r="D49" s="143">
        <f>IF(OR($B$8=2,$B$8=3),"CS","")</f>
      </c>
      <c r="E49" s="38">
        <f>(((IF($B$8=1,'Approved Tariffs'!$N33,IF($B$8=2,'Approved Tariffs'!$O33,IF($B$8=3,'Approved Tariffs'!$P33,IF($B$8=5,'Approved Tariffs'!$Q33,0))))*IF(F$24="",E$24,F$24)))/$E$20)+'Approved Tariffs'!$E33+IF($D49="CS",'Approved Tariffs'!$E$40)</f>
        <v>0.08072416283350001</v>
      </c>
      <c r="F49" s="87"/>
      <c r="G49" s="87"/>
      <c r="H49" s="35">
        <f>(((IF($B$8=1,'Approved Tariffs'!$N33,IF($B$8=2,'Approved Tariffs'!$O33,IF($B$8=3,'Approved Tariffs'!$P33,IF($B$8=5,'Approved Tariffs'!$Q33,0))))*H$24))/$E$20)+'Approved Tariffs'!$E33+IF($D49="CS",'Approved Tariffs'!$E$40)</f>
        <v>0.08406899383983572</v>
      </c>
      <c r="I49" s="36">
        <f>(((IF($B$8=1,'Approved Tariffs'!$N33,IF($B$8=2,'Approved Tariffs'!$O33,IF($B$8=3,'Approved Tariffs'!$P33,IF($B$8=5,'Approved Tariffs'!$Q33,0))))*I$24))/$E$20)+'Approved Tariffs'!$E33+IF($D49="CS",'Approved Tariffs'!$E$40)</f>
        <v>0.08224453985439611</v>
      </c>
      <c r="J49" s="36">
        <f>(((IF($B$8=1,'Approved Tariffs'!$N33,IF($B$8=2,'Approved Tariffs'!$O33,IF($B$8=3,'Approved Tariffs'!$P33,IF($B$8=5,'Approved Tariffs'!$Q33,0))))*J$24))/$E$20)+'Approved Tariffs'!$E33+IF($D49="CS",'Approved Tariffs'!$E$40)</f>
        <v>0.08072416153319643</v>
      </c>
      <c r="K49" s="36">
        <f>(((IF($B$8=1,'Approved Tariffs'!$N33,IF($B$8=2,'Approved Tariffs'!$O33,IF($B$8=3,'Approved Tariffs'!$P33,IF($B$8=5,'Approved Tariffs'!$Q33,0))))*K$24))/$E$20)+'Approved Tariffs'!$E33+IF($D49="CS",'Approved Tariffs'!$E$40)</f>
        <v>0.07943768756910441</v>
      </c>
      <c r="L49" s="36">
        <f>(((IF($B$8=1,'Approved Tariffs'!$N33,IF($B$8=2,'Approved Tariffs'!$O33,IF($B$8=3,'Approved Tariffs'!$P33,IF($B$8=5,'Approved Tariffs'!$Q33,0))))*L$24))/$E$20)+'Approved Tariffs'!$E33+IF($D49="CS",'Approved Tariffs'!$E$40)</f>
        <v>0.07833499559988266</v>
      </c>
      <c r="M49" s="36">
        <f>(((IF($B$8=1,'Approved Tariffs'!$N33,IF($B$8=2,'Approved Tariffs'!$O33,IF($B$8=3,'Approved Tariffs'!$P33,IF($B$8=5,'Approved Tariffs'!$Q33,0))))*M$24))/$E$20)+'Approved Tariffs'!$E33+IF($D49="CS",'Approved Tariffs'!$E$40)</f>
        <v>0.07737932922655714</v>
      </c>
      <c r="N49" s="36">
        <f>(((IF($B$8=1,'Approved Tariffs'!$N33,IF($B$8=2,'Approved Tariffs'!$O33,IF($B$8=3,'Approved Tariffs'!$P33,IF($B$8=5,'Approved Tariffs'!$Q33,0))))*N$24))/$E$20)+'Approved Tariffs'!$E33+IF($D49="CS",'Approved Tariffs'!$E$40)</f>
        <v>0.07654312114989732</v>
      </c>
      <c r="O49" s="36">
        <f>(((IF($B$8=1,'Approved Tariffs'!$N33,IF($B$8=2,'Approved Tariffs'!$O33,IF($B$8=3,'Approved Tariffs'!$P33,IF($B$8=5,'Approved Tariffs'!$Q33,0))))*O$24))/$E$20)+'Approved Tariffs'!$E33+IF($D49="CS",'Approved Tariffs'!$E$40)</f>
        <v>0.07580529049402102</v>
      </c>
      <c r="P49" s="37">
        <f>(((IF($B$8=1,'Approved Tariffs'!$N33,IF($B$8=2,'Approved Tariffs'!$O33,IF($B$8=3,'Approved Tariffs'!$P33,IF($B$8=5,'Approved Tariffs'!$Q33,0))))*P$24))/$E$20)+'Approved Tariffs'!$E33+IF($D49="CS",'Approved Tariffs'!$E$40)</f>
        <v>0.07514944102213096</v>
      </c>
      <c r="Q49" s="109"/>
    </row>
    <row r="50" spans="2:17" ht="15.75">
      <c r="B50" s="5">
        <v>31</v>
      </c>
      <c r="C50" s="3" t="s">
        <v>87</v>
      </c>
      <c r="D50" s="143">
        <f>IF(OR($B$8=2,$B$8=3),"CS","")</f>
      </c>
      <c r="E50" s="34">
        <f>(((IF($B$8=1,'Approved Tariffs'!$N34,IF($B$8=2,'Approved Tariffs'!$O34,IF($B$8=3,'Approved Tariffs'!$P34,IF($B$8=5,'Approved Tariffs'!$Q34,0))))*IF(F$24="",E$24,F$24)))/$E$20)+'Approved Tariffs'!$E34+IF($D50="CS",'Approved Tariffs'!$E$40)</f>
        <v>0.0167241628335</v>
      </c>
      <c r="F50" s="87"/>
      <c r="G50" s="87"/>
      <c r="H50" s="35">
        <f>(((IF($B$8=1,'Approved Tariffs'!$N34,IF($B$8=2,'Approved Tariffs'!$O34,IF($B$8=3,'Approved Tariffs'!$P34,IF($B$8=5,'Approved Tariffs'!$Q34,0))))*H$24))/$E$20)+'Approved Tariffs'!$E34+IF($D50="CS",'Approved Tariffs'!$E$40)</f>
        <v>0.020068993839835726</v>
      </c>
      <c r="I50" s="36">
        <f>(((IF($B$8=1,'Approved Tariffs'!$N34,IF($B$8=2,'Approved Tariffs'!$O34,IF($B$8=3,'Approved Tariffs'!$P34,IF($B$8=5,'Approved Tariffs'!$Q34,0))))*I$24))/$E$20)+'Approved Tariffs'!$E34+IF($D50="CS",'Approved Tariffs'!$E$40)</f>
        <v>0.018244539854396113</v>
      </c>
      <c r="J50" s="36">
        <f>(((IF($B$8=1,'Approved Tariffs'!$N34,IF($B$8=2,'Approved Tariffs'!$O34,IF($B$8=3,'Approved Tariffs'!$P34,IF($B$8=5,'Approved Tariffs'!$Q34,0))))*J$24))/$E$20)+'Approved Tariffs'!$E34+IF($D50="CS",'Approved Tariffs'!$E$40)</f>
        <v>0.016724161533196436</v>
      </c>
      <c r="K50" s="36">
        <f>(((IF($B$8=1,'Approved Tariffs'!$N34,IF($B$8=2,'Approved Tariffs'!$O34,IF($B$8=3,'Approved Tariffs'!$P34,IF($B$8=5,'Approved Tariffs'!$Q34,0))))*K$24))/$E$20)+'Approved Tariffs'!$E34+IF($D50="CS",'Approved Tariffs'!$E$40)</f>
        <v>0.015437687569104401</v>
      </c>
      <c r="L50" s="36">
        <f>(((IF($B$8=1,'Approved Tariffs'!$N34,IF($B$8=2,'Approved Tariffs'!$O34,IF($B$8=3,'Approved Tariffs'!$P34,IF($B$8=5,'Approved Tariffs'!$Q34,0))))*L$24))/$E$20)+'Approved Tariffs'!$E34+IF($D50="CS",'Approved Tariffs'!$E$40)</f>
        <v>0.014334995599882659</v>
      </c>
      <c r="M50" s="36">
        <f>(((IF($B$8=1,'Approved Tariffs'!$N34,IF($B$8=2,'Approved Tariffs'!$O34,IF($B$8=3,'Approved Tariffs'!$P34,IF($B$8=5,'Approved Tariffs'!$Q34,0))))*M$24))/$E$20)+'Approved Tariffs'!$E34+IF($D50="CS",'Approved Tariffs'!$E$40)</f>
        <v>0.013379329226557145</v>
      </c>
      <c r="N50" s="36">
        <f>(((IF($B$8=1,'Approved Tariffs'!$N34,IF($B$8=2,'Approved Tariffs'!$O34,IF($B$8=3,'Approved Tariffs'!$P34,IF($B$8=5,'Approved Tariffs'!$Q34,0))))*N$24))/$E$20)+'Approved Tariffs'!$E34+IF($D50="CS",'Approved Tariffs'!$E$40)</f>
        <v>0.012543121149897323</v>
      </c>
      <c r="O50" s="36">
        <f>(((IF($B$8=1,'Approved Tariffs'!$N34,IF($B$8=2,'Approved Tariffs'!$O34,IF($B$8=3,'Approved Tariffs'!$P34,IF($B$8=5,'Approved Tariffs'!$Q34,0))))*O$24))/$E$20)+'Approved Tariffs'!$E34+IF($D50="CS",'Approved Tariffs'!$E$40)</f>
        <v>0.01180529049402101</v>
      </c>
      <c r="P50" s="37">
        <f>(((IF($B$8=1,'Approved Tariffs'!$N34,IF($B$8=2,'Approved Tariffs'!$O34,IF($B$8=3,'Approved Tariffs'!$P34,IF($B$8=5,'Approved Tariffs'!$Q34,0))))*P$24))/$E$20)+'Approved Tariffs'!$E34+IF($D50="CS",'Approved Tariffs'!$E$40)</f>
        <v>0.011149441022130955</v>
      </c>
      <c r="Q50" s="109"/>
    </row>
    <row r="51" spans="2:17" ht="15.75">
      <c r="B51" s="5">
        <v>32</v>
      </c>
      <c r="C51" s="3" t="s">
        <v>90</v>
      </c>
      <c r="D51" s="143"/>
      <c r="E51" s="39">
        <f>(((IF($B$8=1,'Approved Tariffs'!$N35,IF($B$8=2,'Approved Tariffs'!$O35,IF($B$8=3,'Approved Tariffs'!$P35,IF($B$8=5,'Approved Tariffs'!$Q35,0))))*IF(F$24="",E$24,F$24)))/$E$20)+'Approved Tariffs'!$E35+IF($D51="CS",'Approved Tariffs'!$E$40)</f>
        <v>0.16883548455575</v>
      </c>
      <c r="F51" s="87" t="s">
        <v>92</v>
      </c>
      <c r="G51" s="87"/>
      <c r="H51" s="35">
        <f>(((IF($B$8=1,'Approved Tariffs'!$N35,IF($B$8=2,'Approved Tariffs'!$O35,IF($B$8=3,'Approved Tariffs'!$P35,IF($B$8=5,'Approved Tariffs'!$Q35,0))))*H$24))/$E$20)+'Approved Tariffs'!$E35+IF($D51="CS",'Approved Tariffs'!$E$40)</f>
        <v>0.1857425735797399</v>
      </c>
      <c r="I51" s="36">
        <f>(((IF($B$8=1,'Approved Tariffs'!$N35,IF($B$8=2,'Approved Tariffs'!$O35,IF($B$8=3,'Approved Tariffs'!$P35,IF($B$8=5,'Approved Tariffs'!$Q35,0))))*I$24))/$E$20)+'Approved Tariffs'!$E35+IF($D51="CS",'Approved Tariffs'!$E$40)</f>
        <v>0.17652052143612718</v>
      </c>
      <c r="J51" s="36">
        <f>(((IF($B$8=1,'Approved Tariffs'!$N35,IF($B$8=2,'Approved Tariffs'!$O35,IF($B$8=3,'Approved Tariffs'!$P35,IF($B$8=5,'Approved Tariffs'!$Q35,0))))*J$24))/$E$20)+'Approved Tariffs'!$E35+IF($D51="CS",'Approved Tariffs'!$E$40)</f>
        <v>0.16883547798311654</v>
      </c>
      <c r="K51" s="36">
        <f>(((IF($B$8=1,'Approved Tariffs'!$N35,IF($B$8=2,'Approved Tariffs'!$O35,IF($B$8=3,'Approved Tariffs'!$P35,IF($B$8=5,'Approved Tariffs'!$Q35,0))))*K$24))/$E$20)+'Approved Tariffs'!$E35+IF($D51="CS",'Approved Tariffs'!$E$40)</f>
        <v>0.16233274890749222</v>
      </c>
      <c r="L51" s="36">
        <f>(((IF($B$8=1,'Approved Tariffs'!$N35,IF($B$8=2,'Approved Tariffs'!$O35,IF($B$8=3,'Approved Tariffs'!$P35,IF($B$8=5,'Approved Tariffs'!$Q35,0))))*L$24))/$E$20)+'Approved Tariffs'!$E35+IF($D51="CS",'Approved Tariffs'!$E$40)</f>
        <v>0.1567589811283856</v>
      </c>
      <c r="M51" s="36">
        <f>(((IF($B$8=1,'Approved Tariffs'!$N35,IF($B$8=2,'Approved Tariffs'!$O35,IF($B$8=3,'Approved Tariffs'!$P35,IF($B$8=5,'Approved Tariffs'!$Q35,0))))*M$24))/$E$20)+'Approved Tariffs'!$E35+IF($D51="CS",'Approved Tariffs'!$E$40)</f>
        <v>0.15192838238649325</v>
      </c>
      <c r="N51" s="36">
        <f>(((IF($B$8=1,'Approved Tariffs'!$N35,IF($B$8=2,'Approved Tariffs'!$O35,IF($B$8=3,'Approved Tariffs'!$P35,IF($B$8=5,'Approved Tariffs'!$Q35,0))))*N$24))/$E$20)+'Approved Tariffs'!$E35+IF($D51="CS",'Approved Tariffs'!$E$40)</f>
        <v>0.1477016084873374</v>
      </c>
      <c r="O51" s="36">
        <f>(((IF($B$8=1,'Approved Tariffs'!$N35,IF($B$8=2,'Approved Tariffs'!$O35,IF($B$8=3,'Approved Tariffs'!$P35,IF($B$8=5,'Approved Tariffs'!$Q35,0))))*O$24))/$E$20)+'Approved Tariffs'!$E35+IF($D51="CS",'Approved Tariffs'!$E$40)</f>
        <v>0.14397210210572933</v>
      </c>
      <c r="P51" s="37">
        <f>(((IF($B$8=1,'Approved Tariffs'!$N35,IF($B$8=2,'Approved Tariffs'!$O35,IF($B$8=3,'Approved Tariffs'!$P35,IF($B$8=5,'Approved Tariffs'!$Q35,0))))*P$24))/$E$20)+'Approved Tariffs'!$E35+IF($D51="CS",'Approved Tariffs'!$E$40)</f>
        <v>0.1406569853220777</v>
      </c>
      <c r="Q51" s="109"/>
    </row>
    <row r="52" spans="2:17" ht="15.75">
      <c r="B52" s="5">
        <v>33</v>
      </c>
      <c r="C52" s="3" t="s">
        <v>88</v>
      </c>
      <c r="D52" s="143" t="str">
        <f>IF(OR($B$8=1,$B$8=2,$B$8=5),"CS","")</f>
        <v>CS</v>
      </c>
      <c r="E52" s="34">
        <f>(((IF($B$8=1,'Approved Tariffs'!$N36,IF($B$8=2,'Approved Tariffs'!$O36,IF($B$8=3,'Approved Tariffs'!$P36,IF($B$8=5,'Approved Tariffs'!$Q36,0))))*IF(F$24="",E$24,F$24)))/$E$20)+'Approved Tariffs'!$E36+IF($D52="CS",'Approved Tariffs'!$E$40)</f>
        <v>0.28833548455575</v>
      </c>
      <c r="H52" s="35">
        <f>(((IF($B$8=1,'Approved Tariffs'!$N36,IF($B$8=2,'Approved Tariffs'!$O36,IF($B$8=3,'Approved Tariffs'!$P36,IF($B$8=5,'Approved Tariffs'!$Q36,0))))*H$24))/$E$20)+'Approved Tariffs'!$E36+IF($D52="CS",'Approved Tariffs'!$E$40)</f>
        <v>0.3052425735797399</v>
      </c>
      <c r="I52" s="36">
        <f>(((IF($B$8=1,'Approved Tariffs'!$N36,IF($B$8=2,'Approved Tariffs'!$O36,IF($B$8=3,'Approved Tariffs'!$P36,IF($B$8=5,'Approved Tariffs'!$Q36,0))))*I$24))/$E$20)+'Approved Tariffs'!$E36+IF($D52="CS",'Approved Tariffs'!$E$40)</f>
        <v>0.29602052143612717</v>
      </c>
      <c r="J52" s="36">
        <f>(((IF($B$8=1,'Approved Tariffs'!$N36,IF($B$8=2,'Approved Tariffs'!$O36,IF($B$8=3,'Approved Tariffs'!$P36,IF($B$8=5,'Approved Tariffs'!$Q36,0))))*J$24))/$E$20)+'Approved Tariffs'!$E36+IF($D52="CS",'Approved Tariffs'!$E$40)</f>
        <v>0.28833547798311654</v>
      </c>
      <c r="K52" s="36">
        <f>(((IF($B$8=1,'Approved Tariffs'!$N36,IF($B$8=2,'Approved Tariffs'!$O36,IF($B$8=3,'Approved Tariffs'!$P36,IF($B$8=5,'Approved Tariffs'!$Q36,0))))*K$24))/$E$20)+'Approved Tariffs'!$E36+IF($D52="CS",'Approved Tariffs'!$E$40)</f>
        <v>0.2818327489074922</v>
      </c>
      <c r="L52" s="36">
        <f>(((IF($B$8=1,'Approved Tariffs'!$N36,IF($B$8=2,'Approved Tariffs'!$O36,IF($B$8=3,'Approved Tariffs'!$P36,IF($B$8=5,'Approved Tariffs'!$Q36,0))))*L$24))/$E$20)+'Approved Tariffs'!$E36+IF($D52="CS",'Approved Tariffs'!$E$40)</f>
        <v>0.2762589811283856</v>
      </c>
      <c r="M52" s="36">
        <f>(((IF($B$8=1,'Approved Tariffs'!$N36,IF($B$8=2,'Approved Tariffs'!$O36,IF($B$8=3,'Approved Tariffs'!$P36,IF($B$8=5,'Approved Tariffs'!$Q36,0))))*M$24))/$E$20)+'Approved Tariffs'!$E36+IF($D52="CS",'Approved Tariffs'!$E$40)</f>
        <v>0.27142838238649325</v>
      </c>
      <c r="N52" s="36">
        <f>(((IF($B$8=1,'Approved Tariffs'!$N36,IF($B$8=2,'Approved Tariffs'!$O36,IF($B$8=3,'Approved Tariffs'!$P36,IF($B$8=5,'Approved Tariffs'!$Q36,0))))*N$24))/$E$20)+'Approved Tariffs'!$E36+IF($D52="CS",'Approved Tariffs'!$E$40)</f>
        <v>0.2672016084873374</v>
      </c>
      <c r="O52" s="36">
        <f>(((IF($B$8=1,'Approved Tariffs'!$N36,IF($B$8=2,'Approved Tariffs'!$O36,IF($B$8=3,'Approved Tariffs'!$P36,IF($B$8=5,'Approved Tariffs'!$Q36,0))))*O$24))/$E$20)+'Approved Tariffs'!$E36+IF($D52="CS",'Approved Tariffs'!$E$40)</f>
        <v>0.2634721021057293</v>
      </c>
      <c r="P52" s="37">
        <f>(((IF($B$8=1,'Approved Tariffs'!$N36,IF($B$8=2,'Approved Tariffs'!$O36,IF($B$8=3,'Approved Tariffs'!$P36,IF($B$8=5,'Approved Tariffs'!$Q36,0))))*P$24))/$E$20)+'Approved Tariffs'!$E36+IF($D52="CS",'Approved Tariffs'!$E$40)</f>
        <v>0.26015698532207765</v>
      </c>
      <c r="Q52" s="109"/>
    </row>
    <row r="53" spans="2:17" ht="16.5" thickBot="1">
      <c r="B53" s="5">
        <v>34</v>
      </c>
      <c r="C53" s="3" t="s">
        <v>101</v>
      </c>
      <c r="D53" s="143" t="str">
        <f>IF(OR($B$8=1,$B$8=2,$B$8=5),"CS","")</f>
        <v>CS</v>
      </c>
      <c r="E53" s="40">
        <f>(((IF($B$8=1,'Approved Tariffs'!$N37,IF($B$8=2,'Approved Tariffs'!$O37,IF($B$8=3,'Approved Tariffs'!$P37,IF($B$8=5,'Approved Tariffs'!$Q37,0))))*IF(F$24="",E$24,F$24)))/$E$20)+'Approved Tariffs'!$E37+IF($D53="CS",'Approved Tariffs'!$E$40)</f>
        <v>0.28833548455575</v>
      </c>
      <c r="H53" s="41">
        <f>(((IF($B$8=1,'Approved Tariffs'!$N37,IF($B$8=2,'Approved Tariffs'!$O37,IF($B$8=3,'Approved Tariffs'!$P37,IF($B$8=5,'Approved Tariffs'!$Q37,0))))*H$24))/$E$20)+'Approved Tariffs'!$E37+IF($D53="CS",'Approved Tariffs'!$E$40)</f>
        <v>0.3052425735797399</v>
      </c>
      <c r="I53" s="42">
        <f>(((IF($B$8=1,'Approved Tariffs'!$N37,IF($B$8=2,'Approved Tariffs'!$O37,IF($B$8=3,'Approved Tariffs'!$P37,IF($B$8=5,'Approved Tariffs'!$Q37,0))))*I$24))/$E$20)+'Approved Tariffs'!$E37+IF($D53="CS",'Approved Tariffs'!$E$40)</f>
        <v>0.29602052143612717</v>
      </c>
      <c r="J53" s="42">
        <f>(((IF($B$8=1,'Approved Tariffs'!$N37,IF($B$8=2,'Approved Tariffs'!$O37,IF($B$8=3,'Approved Tariffs'!$P37,IF($B$8=5,'Approved Tariffs'!$Q37,0))))*J$24))/$E$20)+'Approved Tariffs'!$E37+IF($D53="CS",'Approved Tariffs'!$E$40)</f>
        <v>0.28833547798311654</v>
      </c>
      <c r="K53" s="42">
        <f>(((IF($B$8=1,'Approved Tariffs'!$N37,IF($B$8=2,'Approved Tariffs'!$O37,IF($B$8=3,'Approved Tariffs'!$P37,IF($B$8=5,'Approved Tariffs'!$Q37,0))))*K$24))/$E$20)+'Approved Tariffs'!$E37+IF($D53="CS",'Approved Tariffs'!$E$40)</f>
        <v>0.2818327489074922</v>
      </c>
      <c r="L53" s="42">
        <f>(((IF($B$8=1,'Approved Tariffs'!$N37,IF($B$8=2,'Approved Tariffs'!$O37,IF($B$8=3,'Approved Tariffs'!$P37,IF($B$8=5,'Approved Tariffs'!$Q37,0))))*L$24))/$E$20)+'Approved Tariffs'!$E37+IF($D53="CS",'Approved Tariffs'!$E$40)</f>
        <v>0.2762589811283856</v>
      </c>
      <c r="M53" s="42">
        <f>(((IF($B$8=1,'Approved Tariffs'!$N37,IF($B$8=2,'Approved Tariffs'!$O37,IF($B$8=3,'Approved Tariffs'!$P37,IF($B$8=5,'Approved Tariffs'!$Q37,0))))*M$24))/$E$20)+'Approved Tariffs'!$E37+IF($D53="CS",'Approved Tariffs'!$E$40)</f>
        <v>0.27142838238649325</v>
      </c>
      <c r="N53" s="42">
        <f>(((IF($B$8=1,'Approved Tariffs'!$N37,IF($B$8=2,'Approved Tariffs'!$O37,IF($B$8=3,'Approved Tariffs'!$P37,IF($B$8=5,'Approved Tariffs'!$Q37,0))))*N$24))/$E$20)+'Approved Tariffs'!$E37+IF($D53="CS",'Approved Tariffs'!$E$40)</f>
        <v>0.2672016084873374</v>
      </c>
      <c r="O53" s="42">
        <f>(((IF($B$8=1,'Approved Tariffs'!$N37,IF($B$8=2,'Approved Tariffs'!$O37,IF($B$8=3,'Approved Tariffs'!$P37,IF($B$8=5,'Approved Tariffs'!$Q37,0))))*O$24))/$E$20)+'Approved Tariffs'!$E37+IF($D53="CS",'Approved Tariffs'!$E$40)</f>
        <v>0.2634721021057293</v>
      </c>
      <c r="P53" s="43">
        <f>(((IF($B$8=1,'Approved Tariffs'!$N37,IF($B$8=2,'Approved Tariffs'!$O37,IF($B$8=3,'Approved Tariffs'!$P37,IF($B$8=5,'Approved Tariffs'!$Q37,0))))*P$24))/$E$20)+'Approved Tariffs'!$E37+IF($D53="CS",'Approved Tariffs'!$E$40)</f>
        <v>0.26015698532207765</v>
      </c>
      <c r="Q53" s="109"/>
    </row>
    <row r="54" spans="2:16" ht="12.75" customHeight="1">
      <c r="B54" s="5"/>
      <c r="C54" s="88"/>
      <c r="D54" s="149"/>
      <c r="E54" s="88"/>
      <c r="F54" s="88"/>
      <c r="G54" s="88"/>
      <c r="H54" s="88"/>
      <c r="I54" s="88"/>
      <c r="J54" s="88"/>
      <c r="K54" s="88"/>
      <c r="L54" s="88"/>
      <c r="M54" s="88"/>
      <c r="N54" s="88"/>
      <c r="O54" s="88"/>
      <c r="P54" s="88"/>
    </row>
    <row r="55" spans="2:16" ht="12.75" customHeight="1" thickBot="1">
      <c r="B55" s="99" t="s">
        <v>94</v>
      </c>
      <c r="C55" s="100"/>
      <c r="D55" s="150"/>
      <c r="E55" s="102"/>
      <c r="F55" s="89"/>
      <c r="G55" s="89"/>
      <c r="H55" s="89"/>
      <c r="I55" s="103"/>
      <c r="J55" s="89"/>
      <c r="K55" s="89"/>
      <c r="L55" s="104"/>
      <c r="M55" s="105"/>
      <c r="N55" s="106"/>
      <c r="O55" s="89"/>
      <c r="P55" s="89"/>
    </row>
    <row r="56" spans="2:5" ht="12.75" customHeight="1">
      <c r="B56" s="5"/>
      <c r="C56" s="78"/>
      <c r="E56" s="79"/>
    </row>
    <row r="57" spans="2:13" ht="12.75" customHeight="1">
      <c r="B57" s="5"/>
      <c r="C57" s="78"/>
      <c r="E57" s="107"/>
      <c r="H57" s="108"/>
      <c r="I57" s="108"/>
      <c r="J57" s="108"/>
      <c r="K57" s="108"/>
      <c r="L57" s="108"/>
      <c r="M57" s="108"/>
    </row>
    <row r="58" spans="2:8" ht="18">
      <c r="B58" s="73" t="str">
        <f>CONCATENATE(IF($B$8=1,"Longford",IF($B$8=2,"Culcairn",IF($B$8=3,"Port Campbell",IF($B$8=5,"Pakenham","LNG (Dandenong)"))))," Injection  /  Tariff-V :   "&amp;'Terms of Use'!H1&amp;"")</f>
        <v>Longford Injection  /  Tariff-V :   2019</v>
      </c>
      <c r="C58" s="74"/>
      <c r="D58" s="140"/>
      <c r="E58" s="76"/>
      <c r="F58" s="75"/>
      <c r="H58" s="110"/>
    </row>
    <row r="59" ht="18" customHeight="1">
      <c r="K59" s="78"/>
    </row>
    <row r="60" spans="2:11" ht="12.75" customHeight="1">
      <c r="B60" s="90">
        <f>IF($B$7&lt;&gt;"","Invalid injection source entered!!","")</f>
      </c>
      <c r="H60" s="91" t="s">
        <v>43</v>
      </c>
      <c r="K60" s="78"/>
    </row>
    <row r="61" spans="2:16" ht="16.5" thickBot="1">
      <c r="B61" s="3" t="s">
        <v>44</v>
      </c>
      <c r="D61" s="143" t="s">
        <v>60</v>
      </c>
      <c r="E61" s="12">
        <v>60</v>
      </c>
      <c r="H61" s="92">
        <f>IF(OR(H62&lt;=0,H62&gt;0.6),"Input range 1%- 60% only !","")</f>
      </c>
      <c r="I61" s="111"/>
      <c r="J61" s="111"/>
      <c r="K61" s="111"/>
      <c r="L61" s="111"/>
      <c r="M61" s="111"/>
      <c r="N61" s="111"/>
      <c r="O61" s="111"/>
      <c r="P61" s="111"/>
    </row>
    <row r="62" spans="2:16" ht="15.75">
      <c r="B62" s="3" t="s">
        <v>46</v>
      </c>
      <c r="D62" s="143" t="s">
        <v>47</v>
      </c>
      <c r="E62" s="21">
        <v>0.3</v>
      </c>
      <c r="H62" s="14">
        <v>0.6</v>
      </c>
      <c r="I62" s="15">
        <f aca="true" t="shared" si="4" ref="I62:P62">H62+0.05</f>
        <v>0.65</v>
      </c>
      <c r="J62" s="15">
        <f t="shared" si="4"/>
        <v>0.7000000000000001</v>
      </c>
      <c r="K62" s="15">
        <f t="shared" si="4"/>
        <v>0.7500000000000001</v>
      </c>
      <c r="L62" s="15">
        <f t="shared" si="4"/>
        <v>0.8000000000000002</v>
      </c>
      <c r="M62" s="15">
        <f t="shared" si="4"/>
        <v>0.8500000000000002</v>
      </c>
      <c r="N62" s="15">
        <f t="shared" si="4"/>
        <v>0.9000000000000002</v>
      </c>
      <c r="O62" s="15">
        <f t="shared" si="4"/>
        <v>0.9500000000000003</v>
      </c>
      <c r="P62" s="16">
        <f t="shared" si="4"/>
        <v>1.0000000000000002</v>
      </c>
    </row>
    <row r="63" spans="2:16" ht="15.75">
      <c r="B63" s="3" t="s">
        <v>48</v>
      </c>
      <c r="D63" s="148" t="s">
        <v>60</v>
      </c>
      <c r="E63" s="44">
        <f>($E61)/(E62*365.25)</f>
        <v>0.5475701574264202</v>
      </c>
      <c r="F63" s="5" t="s">
        <v>49</v>
      </c>
      <c r="H63" s="18">
        <f aca="true" t="shared" si="5" ref="H63:P63">$E61/(H62*365.25)</f>
        <v>0.2737850787132101</v>
      </c>
      <c r="I63" s="19">
        <f t="shared" si="5"/>
        <v>0.2527246880429632</v>
      </c>
      <c r="J63" s="19">
        <f t="shared" si="5"/>
        <v>0.23467292461132297</v>
      </c>
      <c r="K63" s="19">
        <f t="shared" si="5"/>
        <v>0.21902806297056807</v>
      </c>
      <c r="L63" s="19">
        <f t="shared" si="5"/>
        <v>0.20533880903490756</v>
      </c>
      <c r="M63" s="19">
        <f t="shared" si="5"/>
        <v>0.19326005556226591</v>
      </c>
      <c r="N63" s="19">
        <f t="shared" si="5"/>
        <v>0.1825233858088067</v>
      </c>
      <c r="O63" s="19">
        <f t="shared" si="5"/>
        <v>0.1729168918188695</v>
      </c>
      <c r="P63" s="20">
        <f t="shared" si="5"/>
        <v>0.16427104722792604</v>
      </c>
    </row>
    <row r="64" spans="2:16" ht="15.75">
      <c r="B64" s="3" t="s">
        <v>50</v>
      </c>
      <c r="D64" s="143" t="s">
        <v>47</v>
      </c>
      <c r="E64" s="21">
        <v>0.9</v>
      </c>
      <c r="F64" s="22">
        <f>IF(F65="","",F65/(E63*10))</f>
      </c>
      <c r="H64" s="23">
        <f>IF($F$64="",$E$64,$F$64)</f>
        <v>0.9</v>
      </c>
      <c r="I64" s="24">
        <f aca="true" t="shared" si="6" ref="I64:O64">H64</f>
        <v>0.9</v>
      </c>
      <c r="J64" s="24">
        <f t="shared" si="6"/>
        <v>0.9</v>
      </c>
      <c r="K64" s="24">
        <f t="shared" si="6"/>
        <v>0.9</v>
      </c>
      <c r="L64" s="24">
        <f>K64</f>
        <v>0.9</v>
      </c>
      <c r="M64" s="24">
        <f t="shared" si="6"/>
        <v>0.9</v>
      </c>
      <c r="N64" s="24">
        <f t="shared" si="6"/>
        <v>0.9</v>
      </c>
      <c r="O64" s="24">
        <f t="shared" si="6"/>
        <v>0.9</v>
      </c>
      <c r="P64" s="25">
        <f>IF(P62=1,1,O64)</f>
        <v>1</v>
      </c>
    </row>
    <row r="65" spans="2:16" ht="16.5" thickBot="1">
      <c r="B65" s="3" t="s">
        <v>51</v>
      </c>
      <c r="D65" s="148" t="s">
        <v>60</v>
      </c>
      <c r="E65" s="44">
        <f>10*E63*E64</f>
        <v>4.9281314168377826</v>
      </c>
      <c r="F65" s="17"/>
      <c r="H65" s="27">
        <f aca="true" t="shared" si="7" ref="H65:P65">10*H63*H64</f>
        <v>2.4640657084188913</v>
      </c>
      <c r="I65" s="28">
        <f t="shared" si="7"/>
        <v>2.274522192386669</v>
      </c>
      <c r="J65" s="28">
        <f t="shared" si="7"/>
        <v>2.112056321501907</v>
      </c>
      <c r="K65" s="28">
        <f t="shared" si="7"/>
        <v>1.9712525667351124</v>
      </c>
      <c r="L65" s="28">
        <f t="shared" si="7"/>
        <v>1.8480492813141682</v>
      </c>
      <c r="M65" s="28">
        <f t="shared" si="7"/>
        <v>1.7393405000603932</v>
      </c>
      <c r="N65" s="28">
        <f t="shared" si="7"/>
        <v>1.6427104722792603</v>
      </c>
      <c r="O65" s="28">
        <f t="shared" si="7"/>
        <v>1.5562520263698254</v>
      </c>
      <c r="P65" s="29">
        <f t="shared" si="7"/>
        <v>1.6427104722792605</v>
      </c>
    </row>
    <row r="66" spans="4:16" ht="12.75" customHeight="1">
      <c r="D66" s="143"/>
      <c r="E66" s="79"/>
      <c r="F66" s="95">
        <f>IF(F65&gt;E63*10,"Your over-ride is too high!","")</f>
      </c>
      <c r="H66" s="111"/>
      <c r="I66" s="111"/>
      <c r="J66" s="111"/>
      <c r="K66" s="111"/>
      <c r="L66" s="111"/>
      <c r="M66" s="111"/>
      <c r="N66" s="111"/>
      <c r="O66" s="111"/>
      <c r="P66" s="111"/>
    </row>
    <row r="67" spans="2:16" ht="12.75" customHeight="1">
      <c r="B67" s="91" t="s">
        <v>52</v>
      </c>
      <c r="C67" s="78"/>
      <c r="E67" s="79"/>
      <c r="F67" s="79"/>
      <c r="G67" s="79"/>
      <c r="H67" s="87" t="s">
        <v>53</v>
      </c>
      <c r="I67" s="79"/>
      <c r="J67" s="79"/>
      <c r="K67" s="79"/>
      <c r="L67" s="79"/>
      <c r="M67" s="79"/>
      <c r="N67" s="79"/>
      <c r="O67" s="79"/>
      <c r="P67" s="79"/>
    </row>
    <row r="68" spans="2:8" ht="12.75" customHeight="1">
      <c r="B68" s="91"/>
      <c r="E68" s="5" t="s">
        <v>54</v>
      </c>
      <c r="H68" s="96" t="s">
        <v>55</v>
      </c>
    </row>
    <row r="69" spans="2:5" ht="12.75" customHeight="1" thickBot="1">
      <c r="B69" s="91"/>
      <c r="C69" s="78"/>
      <c r="E69" s="97">
        <f>IF(F65="","","Over-ride")</f>
      </c>
    </row>
    <row r="70" spans="2:17" ht="15.75">
      <c r="B70" s="5">
        <v>1</v>
      </c>
      <c r="C70" s="3" t="s">
        <v>14</v>
      </c>
      <c r="D70" s="143">
        <f>IF(OR($B$8=2,$B$8=3),"CS","")</f>
      </c>
      <c r="E70" s="30">
        <f>(((IF($B$8=1,'Approved Tariffs'!$N13,IF($B$8=2,'Approved Tariffs'!$O13,IF($B$8=3,'Approved Tariffs'!$P13,IF($B$8=5,'Approved Tariffs'!$Q13,0))))*IF(F$65="",E$65,F$65)))/$E$61)+'Approved Tariffs'!$F13+IF($D70="CS",'Approved Tariffs'!$F$40,0)</f>
        <v>0.19748788501026693</v>
      </c>
      <c r="F70" s="87"/>
      <c r="G70" s="87"/>
      <c r="H70" s="218">
        <f>(H$65*IF($B$8=1,'Approved Tariffs'!$N13,IF($B$8=2,'Approved Tariffs'!$O13,IF($B$8=3,'Approved Tariffs'!$P13,IF($B$8=5,'Approved Tariffs'!$Q13,0))))/$E$61)+'Approved Tariffs'!$F13+IF($D70="CS",'Approved Tariffs'!$F$40,0)</f>
        <v>0.18164394250513347</v>
      </c>
      <c r="I70" s="32">
        <f>(I$65*IF($B$8=1,'Approved Tariffs'!$N13,IF($B$8=2,'Approved Tariffs'!$O13,IF($B$8=3,'Approved Tariffs'!$P13,IF($B$8=5,'Approved Tariffs'!$Q13,0))))/$E$61)+'Approved Tariffs'!$F13+IF($D70="CS",'Approved Tariffs'!$F$40,0)</f>
        <v>0.18042517769704627</v>
      </c>
      <c r="J70" s="32">
        <f>(J$65*IF($B$8=1,'Approved Tariffs'!$N13,IF($B$8=2,'Approved Tariffs'!$O13,IF($B$8=3,'Approved Tariffs'!$P13,IF($B$8=5,'Approved Tariffs'!$Q13,0))))/$E$61)+'Approved Tariffs'!$F13+IF($D70="CS",'Approved Tariffs'!$F$40,0)</f>
        <v>0.17938052214725728</v>
      </c>
      <c r="K70" s="32">
        <f>(K$65*IF($B$8=1,'Approved Tariffs'!$N13,IF($B$8=2,'Approved Tariffs'!$O13,IF($B$8=3,'Approved Tariffs'!$P13,IF($B$8=5,'Approved Tariffs'!$Q13,0))))/$E$61)+'Approved Tariffs'!$F13+IF($D70="CS",'Approved Tariffs'!$F$40,0)</f>
        <v>0.17847515400410677</v>
      </c>
      <c r="L70" s="32">
        <f>(L$65*IF($B$8=1,'Approved Tariffs'!$N13,IF($B$8=2,'Approved Tariffs'!$O13,IF($B$8=3,'Approved Tariffs'!$P13,IF($B$8=5,'Approved Tariffs'!$Q13,0))))/$E$61)+'Approved Tariffs'!$F13+IF($D70="CS",'Approved Tariffs'!$F$40,0)</f>
        <v>0.1776829568788501</v>
      </c>
      <c r="M70" s="32">
        <f>(M$65*IF($B$8=1,'Approved Tariffs'!$N13,IF($B$8=2,'Approved Tariffs'!$O13,IF($B$8=3,'Approved Tariffs'!$P13,IF($B$8=5,'Approved Tariffs'!$Q13,0))))/$E$61)+'Approved Tariffs'!$F13+IF($D70="CS",'Approved Tariffs'!$F$40,0)</f>
        <v>0.17698395941538833</v>
      </c>
      <c r="N70" s="32">
        <f>(N$65*IF($B$8=1,'Approved Tariffs'!$N13,IF($B$8=2,'Approved Tariffs'!$O13,IF($B$8=3,'Approved Tariffs'!$P13,IF($B$8=5,'Approved Tariffs'!$Q13,0))))/$E$61)+'Approved Tariffs'!$F13+IF($D70="CS",'Approved Tariffs'!$F$40,0)</f>
        <v>0.17636262833675564</v>
      </c>
      <c r="O70" s="32">
        <f>(O$65*IF($B$8=1,'Approved Tariffs'!$N13,IF($B$8=2,'Approved Tariffs'!$O13,IF($B$8=3,'Approved Tariffs'!$P13,IF($B$8=5,'Approved Tariffs'!$Q13,0))))/$E$61)+'Approved Tariffs'!$F13+IF($D70="CS",'Approved Tariffs'!$F$40,0)</f>
        <v>0.175806700529558</v>
      </c>
      <c r="P70" s="33">
        <f>(P$65*IF($B$8=1,'Approved Tariffs'!$N13,IF($B$8=2,'Approved Tariffs'!$O13,IF($B$8=3,'Approved Tariffs'!$P13,IF($B$8=5,'Approved Tariffs'!$Q13,0))))/$E$61)+'Approved Tariffs'!$F13+IF($D70="CS",'Approved Tariffs'!$F$40,0)</f>
        <v>0.17636262833675564</v>
      </c>
      <c r="Q70" s="88"/>
    </row>
    <row r="71" spans="2:17" ht="15.75">
      <c r="B71" s="5">
        <v>2</v>
      </c>
      <c r="C71" s="3" t="s">
        <v>56</v>
      </c>
      <c r="D71" s="143">
        <f>IF(OR($B$8=2,$B$8=3),"CS","")</f>
      </c>
      <c r="E71" s="34">
        <f>(((IF($B$8=1,'Approved Tariffs'!$N14,IF($B$8=2,'Approved Tariffs'!$O14,IF($B$8=3,'Approved Tariffs'!$P14,IF($B$8=5,'Approved Tariffs'!$Q14,0))))*IF(F$65="",E$65,F$65)))/$E$61)+'Approved Tariffs'!$F14+IF($D71="CS",'Approved Tariffs'!$F$40,0)</f>
        <v>0.3253985626283368</v>
      </c>
      <c r="F71" s="87"/>
      <c r="G71" s="87"/>
      <c r="H71" s="35">
        <f>(H$65*IF($B$8=1,'Approved Tariffs'!$N14,IF($B$8=2,'Approved Tariffs'!$O14,IF($B$8=3,'Approved Tariffs'!$P14,IF($B$8=5,'Approved Tariffs'!$Q14,0))))/$E$61)+'Approved Tariffs'!$F14+IF($D71="CS",'Approved Tariffs'!$F$40,0)</f>
        <v>0.27734928131416836</v>
      </c>
      <c r="I71" s="36">
        <f>(I$65*IF($B$8=1,'Approved Tariffs'!$N14,IF($B$8=2,'Approved Tariffs'!$O14,IF($B$8=3,'Approved Tariffs'!$P14,IF($B$8=5,'Approved Tariffs'!$Q14,0))))/$E$61)+'Approved Tariffs'!$F14+IF($D71="CS",'Approved Tariffs'!$F$40,0)</f>
        <v>0.27365318275154005</v>
      </c>
      <c r="J71" s="36">
        <f>(J$65*IF($B$8=1,'Approved Tariffs'!$N14,IF($B$8=2,'Approved Tariffs'!$O14,IF($B$8=3,'Approved Tariffs'!$P14,IF($B$8=5,'Approved Tariffs'!$Q14,0))))/$E$61)+'Approved Tariffs'!$F14+IF($D71="CS",'Approved Tariffs'!$F$40,0)</f>
        <v>0.2704850982692872</v>
      </c>
      <c r="K71" s="36">
        <f>(K$65*IF($B$8=1,'Approved Tariffs'!$N14,IF($B$8=2,'Approved Tariffs'!$O14,IF($B$8=3,'Approved Tariffs'!$P14,IF($B$8=5,'Approved Tariffs'!$Q14,0))))/$E$61)+'Approved Tariffs'!$F14+IF($D71="CS",'Approved Tariffs'!$F$40,0)</f>
        <v>0.2677394250513347</v>
      </c>
      <c r="L71" s="36">
        <f>(L$65*IF($B$8=1,'Approved Tariffs'!$N14,IF($B$8=2,'Approved Tariffs'!$O14,IF($B$8=3,'Approved Tariffs'!$P14,IF($B$8=5,'Approved Tariffs'!$Q14,0))))/$E$61)+'Approved Tariffs'!$F14+IF($D71="CS",'Approved Tariffs'!$F$40,0)</f>
        <v>0.26533696098562626</v>
      </c>
      <c r="M71" s="36">
        <f>(M$65*IF($B$8=1,'Approved Tariffs'!$N14,IF($B$8=2,'Approved Tariffs'!$O14,IF($B$8=3,'Approved Tariffs'!$P14,IF($B$8=5,'Approved Tariffs'!$Q14,0))))/$E$61)+'Approved Tariffs'!$F14+IF($D71="CS",'Approved Tariffs'!$F$40,0)</f>
        <v>0.26321713975117766</v>
      </c>
      <c r="N71" s="36">
        <f>(N$65*IF($B$8=1,'Approved Tariffs'!$N14,IF($B$8=2,'Approved Tariffs'!$O14,IF($B$8=3,'Approved Tariffs'!$P14,IF($B$8=5,'Approved Tariffs'!$Q14,0))))/$E$61)+'Approved Tariffs'!$F14+IF($D71="CS",'Approved Tariffs'!$F$40,0)</f>
        <v>0.2613328542094456</v>
      </c>
      <c r="O71" s="36">
        <f>(O$65*IF($B$8=1,'Approved Tariffs'!$N14,IF($B$8=2,'Approved Tariffs'!$O14,IF($B$8=3,'Approved Tariffs'!$P14,IF($B$8=5,'Approved Tariffs'!$Q14,0))))/$E$61)+'Approved Tariffs'!$F14+IF($D71="CS",'Approved Tariffs'!$F$40,0)</f>
        <v>0.2596469145142116</v>
      </c>
      <c r="P71" s="37">
        <f>(P$65*IF($B$8=1,'Approved Tariffs'!$N14,IF($B$8=2,'Approved Tariffs'!$O14,IF($B$8=3,'Approved Tariffs'!$P14,IF($B$8=5,'Approved Tariffs'!$Q14,0))))/$E$61)+'Approved Tariffs'!$F14+IF($D71="CS",'Approved Tariffs'!$F$40,0)</f>
        <v>0.2613328542094456</v>
      </c>
      <c r="Q71" s="88"/>
    </row>
    <row r="72" spans="2:17" ht="15.75">
      <c r="B72" s="5">
        <v>3</v>
      </c>
      <c r="C72" s="3" t="s">
        <v>15</v>
      </c>
      <c r="D72" s="143">
        <f>IF(OR($B$8=2,$B$8=3),"CS","")</f>
      </c>
      <c r="E72" s="34">
        <f>(((IF($B$8=1,'Approved Tariffs'!$N15,IF($B$8=2,'Approved Tariffs'!$O15,IF($B$8=3,'Approved Tariffs'!$P15,IF($B$8=5,'Approved Tariffs'!$Q15,0))))*IF(F$65="",E$65,F$65)))/$E$61)+'Approved Tariffs'!$F15+IF($D72="CS",'Approved Tariffs'!$F$40,0)</f>
        <v>0.3381813141683778</v>
      </c>
      <c r="F72" s="87"/>
      <c r="G72" s="87"/>
      <c r="H72" s="35">
        <f>(H$65*IF($B$8=1,'Approved Tariffs'!$N15,IF($B$8=2,'Approved Tariffs'!$O15,IF($B$8=3,'Approved Tariffs'!$P15,IF($B$8=5,'Approved Tariffs'!$Q15,0))))/$E$61)+'Approved Tariffs'!$F15+IF($D72="CS",'Approved Tariffs'!$F$40,0)</f>
        <v>0.3155406570841889</v>
      </c>
      <c r="I72" s="36">
        <f>(I$65*IF($B$8=1,'Approved Tariffs'!$N15,IF($B$8=2,'Approved Tariffs'!$O15,IF($B$8=3,'Approved Tariffs'!$P15,IF($B$8=5,'Approved Tariffs'!$Q15,0))))/$E$61)+'Approved Tariffs'!$F15+IF($D72="CS",'Approved Tariffs'!$F$40,0)</f>
        <v>0.31379906807771285</v>
      </c>
      <c r="J72" s="36">
        <f>(J$65*IF($B$8=1,'Approved Tariffs'!$N15,IF($B$8=2,'Approved Tariffs'!$O15,IF($B$8=3,'Approved Tariffs'!$P15,IF($B$8=5,'Approved Tariffs'!$Q15,0))))/$E$61)+'Approved Tariffs'!$F15+IF($D72="CS",'Approved Tariffs'!$F$40,0)</f>
        <v>0.31230627750073336</v>
      </c>
      <c r="K72" s="36">
        <f>(K$65*IF($B$8=1,'Approved Tariffs'!$N15,IF($B$8=2,'Approved Tariffs'!$O15,IF($B$8=3,'Approved Tariffs'!$P15,IF($B$8=5,'Approved Tariffs'!$Q15,0))))/$E$61)+'Approved Tariffs'!$F15+IF($D72="CS",'Approved Tariffs'!$F$40,0)</f>
        <v>0.3110125256673511</v>
      </c>
      <c r="L72" s="36">
        <f>(L$65*IF($B$8=1,'Approved Tariffs'!$N15,IF($B$8=2,'Approved Tariffs'!$O15,IF($B$8=3,'Approved Tariffs'!$P15,IF($B$8=5,'Approved Tariffs'!$Q15,0))))/$E$61)+'Approved Tariffs'!$F15+IF($D72="CS",'Approved Tariffs'!$F$40,0)</f>
        <v>0.3098804928131417</v>
      </c>
      <c r="M72" s="36">
        <f>(M$65*IF($B$8=1,'Approved Tariffs'!$N15,IF($B$8=2,'Approved Tariffs'!$O15,IF($B$8=3,'Approved Tariffs'!$P15,IF($B$8=5,'Approved Tariffs'!$Q15,0))))/$E$61)+'Approved Tariffs'!$F15+IF($D72="CS",'Approved Tariffs'!$F$40,0)</f>
        <v>0.3088816402947216</v>
      </c>
      <c r="N72" s="36">
        <f>(N$65*IF($B$8=1,'Approved Tariffs'!$N15,IF($B$8=2,'Approved Tariffs'!$O15,IF($B$8=3,'Approved Tariffs'!$P15,IF($B$8=5,'Approved Tariffs'!$Q15,0))))/$E$61)+'Approved Tariffs'!$F15+IF($D72="CS",'Approved Tariffs'!$F$40,0)</f>
        <v>0.30799377138945927</v>
      </c>
      <c r="O72" s="36">
        <f>(O$65*IF($B$8=1,'Approved Tariffs'!$N15,IF($B$8=2,'Approved Tariffs'!$O15,IF($B$8=3,'Approved Tariffs'!$P15,IF($B$8=5,'Approved Tariffs'!$Q15,0))))/$E$61)+'Approved Tariffs'!$F15+IF($D72="CS",'Approved Tariffs'!$F$40,0)</f>
        <v>0.3071993623689614</v>
      </c>
      <c r="P72" s="37">
        <f>(P$65*IF($B$8=1,'Approved Tariffs'!$N15,IF($B$8=2,'Approved Tariffs'!$O15,IF($B$8=3,'Approved Tariffs'!$P15,IF($B$8=5,'Approved Tariffs'!$Q15,0))))/$E$61)+'Approved Tariffs'!$F15+IF($D72="CS",'Approved Tariffs'!$F$40,0)</f>
        <v>0.30799377138945927</v>
      </c>
      <c r="Q72" s="88"/>
    </row>
    <row r="73" spans="2:17" ht="15.75">
      <c r="B73" s="5">
        <v>4</v>
      </c>
      <c r="C73" s="98" t="s">
        <v>59</v>
      </c>
      <c r="D73" s="143"/>
      <c r="E73" s="34">
        <f>(((IF($B$8=1,'Approved Tariffs'!$N16,IF($B$8=2,'Approved Tariffs'!$O16,IF($B$8=3,'Approved Tariffs'!$P16,IF($B$8=5,'Approved Tariffs'!$Q16,0))))*IF(F$65="",E$65,F$65)))/$E$61)+'Approved Tariffs'!$F16+IF($D73="CS",'Approved Tariffs'!$F$40,0)</f>
        <v>0.5335724845995893</v>
      </c>
      <c r="F73" s="87"/>
      <c r="G73" s="87"/>
      <c r="H73" s="35">
        <f>(H$65*IF($B$8=1,'Approved Tariffs'!$N16,IF($B$8=2,'Approved Tariffs'!$O16,IF($B$8=3,'Approved Tariffs'!$P16,IF($B$8=5,'Approved Tariffs'!$Q16,0))))/$E$61)+'Approved Tariffs'!$F16+IF($D73="CS",'Approved Tariffs'!$F$40,0)</f>
        <v>0.4534862422997947</v>
      </c>
      <c r="I73" s="36">
        <f>(I$65*IF($B$8=1,'Approved Tariffs'!$N16,IF($B$8=2,'Approved Tariffs'!$O16,IF($B$8=3,'Approved Tariffs'!$P16,IF($B$8=5,'Approved Tariffs'!$Q16,0))))/$E$61)+'Approved Tariffs'!$F16+IF($D73="CS",'Approved Tariffs'!$F$40,0)</f>
        <v>0.4473257621228874</v>
      </c>
      <c r="J73" s="36">
        <f>(J$65*IF($B$8=1,'Approved Tariffs'!$N16,IF($B$8=2,'Approved Tariffs'!$O16,IF($B$8=3,'Approved Tariffs'!$P16,IF($B$8=5,'Approved Tariffs'!$Q16,0))))/$E$61)+'Approved Tariffs'!$F16+IF($D73="CS",'Approved Tariffs'!$F$40,0)</f>
        <v>0.4420453505426811</v>
      </c>
      <c r="K73" s="36">
        <f>(K$65*IF($B$8=1,'Approved Tariffs'!$N16,IF($B$8=2,'Approved Tariffs'!$O16,IF($B$8=3,'Approved Tariffs'!$P16,IF($B$8=5,'Approved Tariffs'!$Q16,0))))/$E$61)+'Approved Tariffs'!$F16+IF($D73="CS",'Approved Tariffs'!$F$40,0)</f>
        <v>0.43746899383983573</v>
      </c>
      <c r="L73" s="36">
        <f>(L$65*IF($B$8=1,'Approved Tariffs'!$N16,IF($B$8=2,'Approved Tariffs'!$O16,IF($B$8=3,'Approved Tariffs'!$P16,IF($B$8=5,'Approved Tariffs'!$Q16,0))))/$E$61)+'Approved Tariffs'!$F16+IF($D73="CS",'Approved Tariffs'!$F$40,0)</f>
        <v>0.433464681724846</v>
      </c>
      <c r="M73" s="36">
        <f>(M$65*IF($B$8=1,'Approved Tariffs'!$N16,IF($B$8=2,'Approved Tariffs'!$O16,IF($B$8=3,'Approved Tariffs'!$P16,IF($B$8=5,'Approved Tariffs'!$Q16,0))))/$E$61)+'Approved Tariffs'!$F16+IF($D73="CS",'Approved Tariffs'!$F$40,0)</f>
        <v>0.42993146515279623</v>
      </c>
      <c r="N73" s="36">
        <f>(N$65*IF($B$8=1,'Approved Tariffs'!$N16,IF($B$8=2,'Approved Tariffs'!$O16,IF($B$8=3,'Approved Tariffs'!$P16,IF($B$8=5,'Approved Tariffs'!$Q16,0))))/$E$61)+'Approved Tariffs'!$F16+IF($D73="CS",'Approved Tariffs'!$F$40,0)</f>
        <v>0.4267908281998631</v>
      </c>
      <c r="O73" s="36">
        <f>(O$65*IF($B$8=1,'Approved Tariffs'!$N16,IF($B$8=2,'Approved Tariffs'!$O16,IF($B$8=3,'Approved Tariffs'!$P16,IF($B$8=5,'Approved Tariffs'!$Q16,0))))/$E$61)+'Approved Tariffs'!$F16+IF($D73="CS",'Approved Tariffs'!$F$40,0)</f>
        <v>0.4239807846103966</v>
      </c>
      <c r="P73" s="37">
        <f>(P$65*IF($B$8=1,'Approved Tariffs'!$N16,IF($B$8=2,'Approved Tariffs'!$O16,IF($B$8=3,'Approved Tariffs'!$P16,IF($B$8=5,'Approved Tariffs'!$Q16,0))))/$E$61)+'Approved Tariffs'!$F16+IF($D73="CS",'Approved Tariffs'!$F$40,0)</f>
        <v>0.4267908281998631</v>
      </c>
      <c r="Q73" s="88"/>
    </row>
    <row r="74" spans="2:17" ht="15.75">
      <c r="B74" s="5">
        <v>5</v>
      </c>
      <c r="C74" s="3" t="s">
        <v>16</v>
      </c>
      <c r="D74" s="143"/>
      <c r="E74" s="34">
        <f>(((IF($B$8=1,'Approved Tariffs'!$N17,IF($B$8=2,'Approved Tariffs'!$O17,IF($B$8=3,'Approved Tariffs'!$P17,IF($B$8=5,'Approved Tariffs'!$Q17,0))))*IF(F$65="",E$65,F$65)))/$E$61)+'Approved Tariffs'!$F17+IF($D74="CS",'Approved Tariffs'!$F$40,0)</f>
        <v>1.1524724845995893</v>
      </c>
      <c r="F74" s="87"/>
      <c r="G74" s="87"/>
      <c r="H74" s="35">
        <f>(H$65*IF($B$8=1,'Approved Tariffs'!$N17,IF($B$8=2,'Approved Tariffs'!$O17,IF($B$8=3,'Approved Tariffs'!$P17,IF($B$8=5,'Approved Tariffs'!$Q17,0))))/$E$61)+'Approved Tariffs'!$F17+IF($D74="CS",'Approved Tariffs'!$F$40,0)</f>
        <v>1.0723862422997945</v>
      </c>
      <c r="I74" s="36">
        <f>(I$65*IF($B$8=1,'Approved Tariffs'!$N17,IF($B$8=2,'Approved Tariffs'!$O17,IF($B$8=3,'Approved Tariffs'!$P17,IF($B$8=5,'Approved Tariffs'!$Q17,0))))/$E$61)+'Approved Tariffs'!$F17+IF($D74="CS",'Approved Tariffs'!$F$40,0)</f>
        <v>1.0662257621228874</v>
      </c>
      <c r="J74" s="36">
        <f>(J$65*IF($B$8=1,'Approved Tariffs'!$N17,IF($B$8=2,'Approved Tariffs'!$O17,IF($B$8=3,'Approved Tariffs'!$P17,IF($B$8=5,'Approved Tariffs'!$Q17,0))))/$E$61)+'Approved Tariffs'!$F17+IF($D74="CS",'Approved Tariffs'!$F$40,0)</f>
        <v>1.0609453505426811</v>
      </c>
      <c r="K74" s="36">
        <f>(K$65*IF($B$8=1,'Approved Tariffs'!$N17,IF($B$8=2,'Approved Tariffs'!$O17,IF($B$8=3,'Approved Tariffs'!$P17,IF($B$8=5,'Approved Tariffs'!$Q17,0))))/$E$61)+'Approved Tariffs'!$F17+IF($D74="CS",'Approved Tariffs'!$F$40,0)</f>
        <v>1.0563689938398357</v>
      </c>
      <c r="L74" s="36">
        <f>(L$65*IF($B$8=1,'Approved Tariffs'!$N17,IF($B$8=2,'Approved Tariffs'!$O17,IF($B$8=3,'Approved Tariffs'!$P17,IF($B$8=5,'Approved Tariffs'!$Q17,0))))/$E$61)+'Approved Tariffs'!$F17+IF($D74="CS",'Approved Tariffs'!$F$40,0)</f>
        <v>1.052364681724846</v>
      </c>
      <c r="M74" s="36">
        <f>(M$65*IF($B$8=1,'Approved Tariffs'!$N17,IF($B$8=2,'Approved Tariffs'!$O17,IF($B$8=3,'Approved Tariffs'!$P17,IF($B$8=5,'Approved Tariffs'!$Q17,0))))/$E$61)+'Approved Tariffs'!$F17+IF($D74="CS",'Approved Tariffs'!$F$40,0)</f>
        <v>1.0488314651527961</v>
      </c>
      <c r="N74" s="36">
        <f>(N$65*IF($B$8=1,'Approved Tariffs'!$N17,IF($B$8=2,'Approved Tariffs'!$O17,IF($B$8=3,'Approved Tariffs'!$P17,IF($B$8=5,'Approved Tariffs'!$Q17,0))))/$E$61)+'Approved Tariffs'!$F17+IF($D74="CS",'Approved Tariffs'!$F$40,0)</f>
        <v>1.0456908281998631</v>
      </c>
      <c r="O74" s="36">
        <f>(O$65*IF($B$8=1,'Approved Tariffs'!$N17,IF($B$8=2,'Approved Tariffs'!$O17,IF($B$8=3,'Approved Tariffs'!$P17,IF($B$8=5,'Approved Tariffs'!$Q17,0))))/$E$61)+'Approved Tariffs'!$F17+IF($D74="CS",'Approved Tariffs'!$F$40,0)</f>
        <v>1.0428807846103965</v>
      </c>
      <c r="P74" s="37">
        <f>(P$65*IF($B$8=1,'Approved Tariffs'!$N17,IF($B$8=2,'Approved Tariffs'!$O17,IF($B$8=3,'Approved Tariffs'!$P17,IF($B$8=5,'Approved Tariffs'!$Q17,0))))/$E$61)+'Approved Tariffs'!$F17+IF($D74="CS",'Approved Tariffs'!$F$40,0)</f>
        <v>1.0456908281998631</v>
      </c>
      <c r="Q74" s="88"/>
    </row>
    <row r="75" spans="2:17" ht="15.75">
      <c r="B75" s="5">
        <v>6</v>
      </c>
      <c r="C75" s="3" t="s">
        <v>17</v>
      </c>
      <c r="D75" s="143"/>
      <c r="E75" s="34">
        <f>(((IF($B$8=1,'Approved Tariffs'!$N18,IF($B$8=2,'Approved Tariffs'!$O18,IF($B$8=3,'Approved Tariffs'!$P18,IF($B$8=5,'Approved Tariffs'!$Q18,0))))*IF(F$65="",E$65,F$65)))/$E$61)+'Approved Tariffs'!$F18+IF($D75="CS",'Approved Tariffs'!$F$40,0)</f>
        <v>0.5255724845995893</v>
      </c>
      <c r="F75" s="87"/>
      <c r="G75" s="87"/>
      <c r="H75" s="35">
        <f>(H$65*IF($B$8=1,'Approved Tariffs'!$N18,IF($B$8=2,'Approved Tariffs'!$O18,IF($B$8=3,'Approved Tariffs'!$P18,IF($B$8=5,'Approved Tariffs'!$Q18,0))))/$E$61)+'Approved Tariffs'!$F18+IF($D75="CS",'Approved Tariffs'!$F$40,0)</f>
        <v>0.44548624229979467</v>
      </c>
      <c r="I75" s="36">
        <f>(I$65*IF($B$8=1,'Approved Tariffs'!$N18,IF($B$8=2,'Approved Tariffs'!$O18,IF($B$8=3,'Approved Tariffs'!$P18,IF($B$8=5,'Approved Tariffs'!$Q18,0))))/$E$61)+'Approved Tariffs'!$F18+IF($D75="CS",'Approved Tariffs'!$F$40,0)</f>
        <v>0.4393257621228874</v>
      </c>
      <c r="J75" s="36">
        <f>(J$65*IF($B$8=1,'Approved Tariffs'!$N18,IF($B$8=2,'Approved Tariffs'!$O18,IF($B$8=3,'Approved Tariffs'!$P18,IF($B$8=5,'Approved Tariffs'!$Q18,0))))/$E$61)+'Approved Tariffs'!$F18+IF($D75="CS",'Approved Tariffs'!$F$40,0)</f>
        <v>0.4340453505426811</v>
      </c>
      <c r="K75" s="36">
        <f>(K$65*IF($B$8=1,'Approved Tariffs'!$N18,IF($B$8=2,'Approved Tariffs'!$O18,IF($B$8=3,'Approved Tariffs'!$P18,IF($B$8=5,'Approved Tariffs'!$Q18,0))))/$E$61)+'Approved Tariffs'!$F18+IF($D75="CS",'Approved Tariffs'!$F$40,0)</f>
        <v>0.4294689938398357</v>
      </c>
      <c r="L75" s="36">
        <f>(L$65*IF($B$8=1,'Approved Tariffs'!$N18,IF($B$8=2,'Approved Tariffs'!$O18,IF($B$8=3,'Approved Tariffs'!$P18,IF($B$8=5,'Approved Tariffs'!$Q18,0))))/$E$61)+'Approved Tariffs'!$F18+IF($D75="CS",'Approved Tariffs'!$F$40,0)</f>
        <v>0.425464681724846</v>
      </c>
      <c r="M75" s="36">
        <f>(M$65*IF($B$8=1,'Approved Tariffs'!$N18,IF($B$8=2,'Approved Tariffs'!$O18,IF($B$8=3,'Approved Tariffs'!$P18,IF($B$8=5,'Approved Tariffs'!$Q18,0))))/$E$61)+'Approved Tariffs'!$F18+IF($D75="CS",'Approved Tariffs'!$F$40,0)</f>
        <v>0.4219314651527962</v>
      </c>
      <c r="N75" s="36">
        <f>(N$65*IF($B$8=1,'Approved Tariffs'!$N18,IF($B$8=2,'Approved Tariffs'!$O18,IF($B$8=3,'Approved Tariffs'!$P18,IF($B$8=5,'Approved Tariffs'!$Q18,0))))/$E$61)+'Approved Tariffs'!$F18+IF($D75="CS",'Approved Tariffs'!$F$40,0)</f>
        <v>0.4187908281998631</v>
      </c>
      <c r="O75" s="36">
        <f>(O$65*IF($B$8=1,'Approved Tariffs'!$N18,IF($B$8=2,'Approved Tariffs'!$O18,IF($B$8=3,'Approved Tariffs'!$P18,IF($B$8=5,'Approved Tariffs'!$Q18,0))))/$E$61)+'Approved Tariffs'!$F18+IF($D75="CS",'Approved Tariffs'!$F$40,0)</f>
        <v>0.4159807846103966</v>
      </c>
      <c r="P75" s="37">
        <f>(P$65*IF($B$8=1,'Approved Tariffs'!$N18,IF($B$8=2,'Approved Tariffs'!$O18,IF($B$8=3,'Approved Tariffs'!$P18,IF($B$8=5,'Approved Tariffs'!$Q18,0))))/$E$61)+'Approved Tariffs'!$F18+IF($D75="CS",'Approved Tariffs'!$F$40,0)</f>
        <v>0.4187908281998631</v>
      </c>
      <c r="Q75" s="88"/>
    </row>
    <row r="76" spans="2:17" ht="15.75">
      <c r="B76" s="5">
        <v>7</v>
      </c>
      <c r="C76" s="3" t="s">
        <v>58</v>
      </c>
      <c r="D76" s="143"/>
      <c r="E76" s="34">
        <f>(((IF($B$8=1,'Approved Tariffs'!$N19,IF($B$8=2,'Approved Tariffs'!$O19,IF($B$8=3,'Approved Tariffs'!$P19,IF($B$8=5,'Approved Tariffs'!$Q19,0))))*IF(F$65="",E$65,F$65)))/$E$61)+'Approved Tariffs'!$F19+IF($D76="CS",'Approved Tariffs'!$F$40,0)</f>
        <v>1.2684724845995894</v>
      </c>
      <c r="F76" s="87"/>
      <c r="G76" s="87"/>
      <c r="H76" s="35">
        <f>(H$65*IF($B$8=1,'Approved Tariffs'!$N19,IF($B$8=2,'Approved Tariffs'!$O19,IF($B$8=3,'Approved Tariffs'!$P19,IF($B$8=5,'Approved Tariffs'!$Q19,0))))/$E$61)+'Approved Tariffs'!$F19+IF($D76="CS",'Approved Tariffs'!$F$40,0)</f>
        <v>1.1883862422997946</v>
      </c>
      <c r="I76" s="36">
        <f>(I$65*IF($B$8=1,'Approved Tariffs'!$N19,IF($B$8=2,'Approved Tariffs'!$O19,IF($B$8=3,'Approved Tariffs'!$P19,IF($B$8=5,'Approved Tariffs'!$Q19,0))))/$E$61)+'Approved Tariffs'!$F19+IF($D76="CS",'Approved Tariffs'!$F$40,0)</f>
        <v>1.1822257621228875</v>
      </c>
      <c r="J76" s="36">
        <f>(J$65*IF($B$8=1,'Approved Tariffs'!$N19,IF($B$8=2,'Approved Tariffs'!$O19,IF($B$8=3,'Approved Tariffs'!$P19,IF($B$8=5,'Approved Tariffs'!$Q19,0))))/$E$61)+'Approved Tariffs'!$F19+IF($D76="CS",'Approved Tariffs'!$F$40,0)</f>
        <v>1.1769453505426812</v>
      </c>
      <c r="K76" s="36">
        <f>(K$65*IF($B$8=1,'Approved Tariffs'!$N19,IF($B$8=2,'Approved Tariffs'!$O19,IF($B$8=3,'Approved Tariffs'!$P19,IF($B$8=5,'Approved Tariffs'!$Q19,0))))/$E$61)+'Approved Tariffs'!$F19+IF($D76="CS",'Approved Tariffs'!$F$40,0)</f>
        <v>1.1723689938398358</v>
      </c>
      <c r="L76" s="36">
        <f>(L$65*IF($B$8=1,'Approved Tariffs'!$N19,IF($B$8=2,'Approved Tariffs'!$O19,IF($B$8=3,'Approved Tariffs'!$P19,IF($B$8=5,'Approved Tariffs'!$Q19,0))))/$E$61)+'Approved Tariffs'!$F19+IF($D76="CS",'Approved Tariffs'!$F$40,0)</f>
        <v>1.168364681724846</v>
      </c>
      <c r="M76" s="36">
        <f>(M$65*IF($B$8=1,'Approved Tariffs'!$N19,IF($B$8=2,'Approved Tariffs'!$O19,IF($B$8=3,'Approved Tariffs'!$P19,IF($B$8=5,'Approved Tariffs'!$Q19,0))))/$E$61)+'Approved Tariffs'!$F19+IF($D76="CS",'Approved Tariffs'!$F$40,0)</f>
        <v>1.1648314651527962</v>
      </c>
      <c r="N76" s="36">
        <f>(N$65*IF($B$8=1,'Approved Tariffs'!$N19,IF($B$8=2,'Approved Tariffs'!$O19,IF($B$8=3,'Approved Tariffs'!$P19,IF($B$8=5,'Approved Tariffs'!$Q19,0))))/$E$61)+'Approved Tariffs'!$F19+IF($D76="CS",'Approved Tariffs'!$F$40,0)</f>
        <v>1.1616908281998632</v>
      </c>
      <c r="O76" s="36">
        <f>(O$65*IF($B$8=1,'Approved Tariffs'!$N19,IF($B$8=2,'Approved Tariffs'!$O19,IF($B$8=3,'Approved Tariffs'!$P19,IF($B$8=5,'Approved Tariffs'!$Q19,0))))/$E$61)+'Approved Tariffs'!$F19+IF($D76="CS",'Approved Tariffs'!$F$40,0)</f>
        <v>1.1588807846103966</v>
      </c>
      <c r="P76" s="37">
        <f>(P$65*IF($B$8=1,'Approved Tariffs'!$N19,IF($B$8=2,'Approved Tariffs'!$O19,IF($B$8=3,'Approved Tariffs'!$P19,IF($B$8=5,'Approved Tariffs'!$Q19,0))))/$E$61)+'Approved Tariffs'!$F19+IF($D76="CS",'Approved Tariffs'!$F$40,0)</f>
        <v>1.1616908281998632</v>
      </c>
      <c r="Q76" s="88"/>
    </row>
    <row r="77" spans="2:17" ht="15.75">
      <c r="B77" s="5">
        <v>8</v>
      </c>
      <c r="C77" s="3" t="s">
        <v>19</v>
      </c>
      <c r="D77" s="143"/>
      <c r="E77" s="34">
        <f>(((IF($B$8=1,'Approved Tariffs'!$N20,IF($B$8=2,'Approved Tariffs'!$O20,IF($B$8=3,'Approved Tariffs'!$P20,IF($B$8=5,'Approved Tariffs'!$Q20,0))))*IF(F$65="",E$65,F$65)))/$E$61)+'Approved Tariffs'!$F20+IF($D77="CS",'Approved Tariffs'!$F$40,0)</f>
        <v>1.3207724845995894</v>
      </c>
      <c r="F77" s="101">
        <f>IF($B$8=2," Matched","")</f>
      </c>
      <c r="G77" s="87"/>
      <c r="H77" s="35">
        <f>(H$65*IF($B$8=1,'Approved Tariffs'!$N20,IF($B$8=2,'Approved Tariffs'!$O20,IF($B$8=3,'Approved Tariffs'!$P20,IF($B$8=5,'Approved Tariffs'!$Q20,0))))/$E$61)+'Approved Tariffs'!$F20+IF($D77="CS",'Approved Tariffs'!$F$40,0)</f>
        <v>1.2406862422997946</v>
      </c>
      <c r="I77" s="36">
        <f>(I$65*IF($B$8=1,'Approved Tariffs'!$N20,IF($B$8=2,'Approved Tariffs'!$O20,IF($B$8=3,'Approved Tariffs'!$P20,IF($B$8=5,'Approved Tariffs'!$Q20,0))))/$E$61)+'Approved Tariffs'!$F20+IF($D77="CS",'Approved Tariffs'!$F$40,0)</f>
        <v>1.2345257621228876</v>
      </c>
      <c r="J77" s="36">
        <f>(J$65*IF($B$8=1,'Approved Tariffs'!$N20,IF($B$8=2,'Approved Tariffs'!$O20,IF($B$8=3,'Approved Tariffs'!$P20,IF($B$8=5,'Approved Tariffs'!$Q20,0))))/$E$61)+'Approved Tariffs'!$F20+IF($D77="CS",'Approved Tariffs'!$F$40,0)</f>
        <v>1.2292453505426812</v>
      </c>
      <c r="K77" s="36">
        <f>(K$65*IF($B$8=1,'Approved Tariffs'!$N20,IF($B$8=2,'Approved Tariffs'!$O20,IF($B$8=3,'Approved Tariffs'!$P20,IF($B$8=5,'Approved Tariffs'!$Q20,0))))/$E$61)+'Approved Tariffs'!$F20+IF($D77="CS",'Approved Tariffs'!$F$40,0)</f>
        <v>1.2246689938398359</v>
      </c>
      <c r="L77" s="36">
        <f>(L$65*IF($B$8=1,'Approved Tariffs'!$N20,IF($B$8=2,'Approved Tariffs'!$O20,IF($B$8=3,'Approved Tariffs'!$P20,IF($B$8=5,'Approved Tariffs'!$Q20,0))))/$E$61)+'Approved Tariffs'!$F20+IF($D77="CS",'Approved Tariffs'!$F$40,0)</f>
        <v>1.220664681724846</v>
      </c>
      <c r="M77" s="36">
        <f>(M$65*IF($B$8=1,'Approved Tariffs'!$N20,IF($B$8=2,'Approved Tariffs'!$O20,IF($B$8=3,'Approved Tariffs'!$P20,IF($B$8=5,'Approved Tariffs'!$Q20,0))))/$E$61)+'Approved Tariffs'!$F20+IF($D77="CS",'Approved Tariffs'!$F$40,0)</f>
        <v>1.2171314651527962</v>
      </c>
      <c r="N77" s="36">
        <f>(N$65*IF($B$8=1,'Approved Tariffs'!$N20,IF($B$8=2,'Approved Tariffs'!$O20,IF($B$8=3,'Approved Tariffs'!$P20,IF($B$8=5,'Approved Tariffs'!$Q20,0))))/$E$61)+'Approved Tariffs'!$F20+IF($D77="CS",'Approved Tariffs'!$F$40,0)</f>
        <v>1.2139908281998633</v>
      </c>
      <c r="O77" s="36">
        <f>(O$65*IF($B$8=1,'Approved Tariffs'!$N20,IF($B$8=2,'Approved Tariffs'!$O20,IF($B$8=3,'Approved Tariffs'!$P20,IF($B$8=5,'Approved Tariffs'!$Q20,0))))/$E$61)+'Approved Tariffs'!$F20+IF($D77="CS",'Approved Tariffs'!$F$40,0)</f>
        <v>1.2111807846103966</v>
      </c>
      <c r="P77" s="37">
        <f>(P$65*IF($B$8=1,'Approved Tariffs'!$N20,IF($B$8=2,'Approved Tariffs'!$O20,IF($B$8=3,'Approved Tariffs'!$P20,IF($B$8=5,'Approved Tariffs'!$Q20,0))))/$E$61)+'Approved Tariffs'!$F20+IF($D77="CS",'Approved Tariffs'!$F$40,0)</f>
        <v>1.2139908281998633</v>
      </c>
      <c r="Q77" s="88"/>
    </row>
    <row r="78" spans="2:17" ht="15.75">
      <c r="B78" s="5">
        <v>9</v>
      </c>
      <c r="C78" s="3" t="s">
        <v>20</v>
      </c>
      <c r="D78" s="143" t="str">
        <f>IF(OR($B$8=1,$B$8=2,$B$8=5),"CS","")</f>
        <v>CS</v>
      </c>
      <c r="E78" s="34">
        <f>(((IF($B$8=1,'Approved Tariffs'!$N21,IF($B$8=2,'Approved Tariffs'!$O21,IF($B$8=3,'Approved Tariffs'!$P21,IF($B$8=5,'Approved Tariffs'!$Q21,0))))*IF(F$65="",E$65,F$65)))/$E$61)+'Approved Tariffs'!$F21+IF($D78="CS",'Approved Tariffs'!$F$40,0)</f>
        <v>1.4789724845995895</v>
      </c>
      <c r="F78" s="87"/>
      <c r="G78" s="87"/>
      <c r="H78" s="35">
        <f>(H$65*IF($B$8=1,'Approved Tariffs'!$N21,IF($B$8=2,'Approved Tariffs'!$O21,IF($B$8=3,'Approved Tariffs'!$P21,IF($B$8=5,'Approved Tariffs'!$Q21,0))))/$E$61)+'Approved Tariffs'!$F21+IF($D78="CS",'Approved Tariffs'!$F$40,0)</f>
        <v>1.3988862422997945</v>
      </c>
      <c r="I78" s="36">
        <f>(I$65*IF($B$8=1,'Approved Tariffs'!$N21,IF($B$8=2,'Approved Tariffs'!$O21,IF($B$8=3,'Approved Tariffs'!$P21,IF($B$8=5,'Approved Tariffs'!$Q21,0))))/$E$61)+'Approved Tariffs'!$F21+IF($D78="CS",'Approved Tariffs'!$F$40,0)</f>
        <v>1.3927257621228875</v>
      </c>
      <c r="J78" s="36">
        <f>(J$65*IF($B$8=1,'Approved Tariffs'!$N21,IF($B$8=2,'Approved Tariffs'!$O21,IF($B$8=3,'Approved Tariffs'!$P21,IF($B$8=5,'Approved Tariffs'!$Q21,0))))/$E$61)+'Approved Tariffs'!$F21+IF($D78="CS",'Approved Tariffs'!$F$40,0)</f>
        <v>1.3874453505426811</v>
      </c>
      <c r="K78" s="36">
        <f>(K$65*IF($B$8=1,'Approved Tariffs'!$N21,IF($B$8=2,'Approved Tariffs'!$O21,IF($B$8=3,'Approved Tariffs'!$P21,IF($B$8=5,'Approved Tariffs'!$Q21,0))))/$E$61)+'Approved Tariffs'!$F21+IF($D78="CS",'Approved Tariffs'!$F$40,0)</f>
        <v>1.382868993839836</v>
      </c>
      <c r="L78" s="36">
        <f>(L$65*IF($B$8=1,'Approved Tariffs'!$N21,IF($B$8=2,'Approved Tariffs'!$O21,IF($B$8=3,'Approved Tariffs'!$P21,IF($B$8=5,'Approved Tariffs'!$Q21,0))))/$E$61)+'Approved Tariffs'!$F21+IF($D78="CS",'Approved Tariffs'!$F$40,0)</f>
        <v>1.378864681724846</v>
      </c>
      <c r="M78" s="36">
        <f>(M$65*IF($B$8=1,'Approved Tariffs'!$N21,IF($B$8=2,'Approved Tariffs'!$O21,IF($B$8=3,'Approved Tariffs'!$P21,IF($B$8=5,'Approved Tariffs'!$Q21,0))))/$E$61)+'Approved Tariffs'!$F21+IF($D78="CS",'Approved Tariffs'!$F$40,0)</f>
        <v>1.3753314651527964</v>
      </c>
      <c r="N78" s="36">
        <f>(N$65*IF($B$8=1,'Approved Tariffs'!$N21,IF($B$8=2,'Approved Tariffs'!$O21,IF($B$8=3,'Approved Tariffs'!$P21,IF($B$8=5,'Approved Tariffs'!$Q21,0))))/$E$61)+'Approved Tariffs'!$F21+IF($D78="CS",'Approved Tariffs'!$F$40,0)</f>
        <v>1.3721908281998632</v>
      </c>
      <c r="O78" s="36">
        <f>(O$65*IF($B$8=1,'Approved Tariffs'!$N21,IF($B$8=2,'Approved Tariffs'!$O21,IF($B$8=3,'Approved Tariffs'!$P21,IF($B$8=5,'Approved Tariffs'!$Q21,0))))/$E$61)+'Approved Tariffs'!$F21+IF($D78="CS",'Approved Tariffs'!$F$40,0)</f>
        <v>1.3693807846103967</v>
      </c>
      <c r="P78" s="37">
        <f>(P$65*IF($B$8=1,'Approved Tariffs'!$N21,IF($B$8=2,'Approved Tariffs'!$O21,IF($B$8=3,'Approved Tariffs'!$P21,IF($B$8=5,'Approved Tariffs'!$Q21,0))))/$E$61)+'Approved Tariffs'!$F21+IF($D78="CS",'Approved Tariffs'!$F$40,0)</f>
        <v>1.3721908281998632</v>
      </c>
      <c r="Q78" s="88"/>
    </row>
    <row r="79" spans="2:17" ht="15.75">
      <c r="B79" s="5">
        <v>10</v>
      </c>
      <c r="C79" s="3" t="s">
        <v>21</v>
      </c>
      <c r="D79" s="143"/>
      <c r="E79" s="34">
        <f>(((IF($B$8=1,'Approved Tariffs'!$N22,IF($B$8=2,'Approved Tariffs'!$O22,IF($B$8=3,'Approved Tariffs'!$P22,IF($B$8=5,'Approved Tariffs'!$Q22,0))))*IF(F$65="",E$65,F$65)))/$E$61)+'Approved Tariffs'!$F22+IF($D79="CS",'Approved Tariffs'!$F$40,0)</f>
        <v>1.0918724845995893</v>
      </c>
      <c r="F79" s="101">
        <f>IF($B$8=2," Matched","")</f>
      </c>
      <c r="G79" s="87"/>
      <c r="H79" s="35">
        <f>(H$65*IF($B$8=1,'Approved Tariffs'!$N22,IF($B$8=2,'Approved Tariffs'!$O22,IF($B$8=3,'Approved Tariffs'!$P22,IF($B$8=5,'Approved Tariffs'!$Q22,0))))/$E$61)+'Approved Tariffs'!$F22+IF($D79="CS",'Approved Tariffs'!$F$40,0)</f>
        <v>1.0117862422997945</v>
      </c>
      <c r="I79" s="36">
        <f>(I$65*IF($B$8=1,'Approved Tariffs'!$N22,IF($B$8=2,'Approved Tariffs'!$O22,IF($B$8=3,'Approved Tariffs'!$P22,IF($B$8=5,'Approved Tariffs'!$Q22,0))))/$E$61)+'Approved Tariffs'!$F22+IF($D79="CS",'Approved Tariffs'!$F$40,0)</f>
        <v>1.0056257621228875</v>
      </c>
      <c r="J79" s="36">
        <f>(J$65*IF($B$8=1,'Approved Tariffs'!$N22,IF($B$8=2,'Approved Tariffs'!$O22,IF($B$8=3,'Approved Tariffs'!$P22,IF($B$8=5,'Approved Tariffs'!$Q22,0))))/$E$61)+'Approved Tariffs'!$F22+IF($D79="CS",'Approved Tariffs'!$F$40,0)</f>
        <v>1.0003453505426811</v>
      </c>
      <c r="K79" s="36">
        <f>(K$65*IF($B$8=1,'Approved Tariffs'!$N22,IF($B$8=2,'Approved Tariffs'!$O22,IF($B$8=3,'Approved Tariffs'!$P22,IF($B$8=5,'Approved Tariffs'!$Q22,0))))/$E$61)+'Approved Tariffs'!$F22+IF($D79="CS",'Approved Tariffs'!$F$40,0)</f>
        <v>0.9957689938398356</v>
      </c>
      <c r="L79" s="36">
        <f>(L$65*IF($B$8=1,'Approved Tariffs'!$N22,IF($B$8=2,'Approved Tariffs'!$O22,IF($B$8=3,'Approved Tariffs'!$P22,IF($B$8=5,'Approved Tariffs'!$Q22,0))))/$E$61)+'Approved Tariffs'!$F22+IF($D79="CS",'Approved Tariffs'!$F$40,0)</f>
        <v>0.991764681724846</v>
      </c>
      <c r="M79" s="36">
        <f>(M$65*IF($B$8=1,'Approved Tariffs'!$N22,IF($B$8=2,'Approved Tariffs'!$O22,IF($B$8=3,'Approved Tariffs'!$P22,IF($B$8=5,'Approved Tariffs'!$Q22,0))))/$E$61)+'Approved Tariffs'!$F22+IF($D79="CS",'Approved Tariffs'!$F$40,0)</f>
        <v>0.9882314651527961</v>
      </c>
      <c r="N79" s="36">
        <f>(N$65*IF($B$8=1,'Approved Tariffs'!$N22,IF($B$8=2,'Approved Tariffs'!$O22,IF($B$8=3,'Approved Tariffs'!$P22,IF($B$8=5,'Approved Tariffs'!$Q22,0))))/$E$61)+'Approved Tariffs'!$F22+IF($D79="CS",'Approved Tariffs'!$F$40,0)</f>
        <v>0.985090828199863</v>
      </c>
      <c r="O79" s="36">
        <f>(O$65*IF($B$8=1,'Approved Tariffs'!$N22,IF($B$8=2,'Approved Tariffs'!$O22,IF($B$8=3,'Approved Tariffs'!$P22,IF($B$8=5,'Approved Tariffs'!$Q22,0))))/$E$61)+'Approved Tariffs'!$F22+IF($D79="CS",'Approved Tariffs'!$F$40,0)</f>
        <v>0.9822807846103966</v>
      </c>
      <c r="P79" s="37">
        <f>(P$65*IF($B$8=1,'Approved Tariffs'!$N22,IF($B$8=2,'Approved Tariffs'!$O22,IF($B$8=3,'Approved Tariffs'!$P22,IF($B$8=5,'Approved Tariffs'!$Q22,0))))/$E$61)+'Approved Tariffs'!$F22+IF($D79="CS",'Approved Tariffs'!$F$40,0)</f>
        <v>0.985090828199863</v>
      </c>
      <c r="Q79" s="88"/>
    </row>
    <row r="80" spans="2:17" ht="15.75">
      <c r="B80" s="5">
        <v>11</v>
      </c>
      <c r="C80" s="3" t="s">
        <v>22</v>
      </c>
      <c r="D80" s="143"/>
      <c r="E80" s="34">
        <f>(((IF($B$8=1,'Approved Tariffs'!$N23,IF($B$8=2,'Approved Tariffs'!$O23,IF($B$8=3,'Approved Tariffs'!$P23,IF($B$8=5,'Approved Tariffs'!$Q23,0))))*IF(F$65="",E$65,F$65)))/$E$61)+'Approved Tariffs'!$F23+IF($D80="CS",'Approved Tariffs'!$F$40,0)</f>
        <v>0.9710724845995893</v>
      </c>
      <c r="F80" s="101">
        <f>IF($B$8=2," Matched","")</f>
      </c>
      <c r="G80" s="87"/>
      <c r="H80" s="35">
        <f>(H$65*IF($B$8=1,'Approved Tariffs'!$N23,IF($B$8=2,'Approved Tariffs'!$O23,IF($B$8=3,'Approved Tariffs'!$P23,IF($B$8=5,'Approved Tariffs'!$Q23,0))))/$E$61)+'Approved Tariffs'!$F23+IF($D80="CS",'Approved Tariffs'!$F$40,0)</f>
        <v>0.8909862422997946</v>
      </c>
      <c r="I80" s="36">
        <f>(I$65*IF($B$8=1,'Approved Tariffs'!$N23,IF($B$8=2,'Approved Tariffs'!$O23,IF($B$8=3,'Approved Tariffs'!$P23,IF($B$8=5,'Approved Tariffs'!$Q23,0))))/$E$61)+'Approved Tariffs'!$F23+IF($D80="CS",'Approved Tariffs'!$F$40,0)</f>
        <v>0.8848257621228873</v>
      </c>
      <c r="J80" s="36">
        <f>(J$65*IF($B$8=1,'Approved Tariffs'!$N23,IF($B$8=2,'Approved Tariffs'!$O23,IF($B$8=3,'Approved Tariffs'!$P23,IF($B$8=5,'Approved Tariffs'!$Q23,0))))/$E$61)+'Approved Tariffs'!$F23+IF($D80="CS",'Approved Tariffs'!$F$40,0)</f>
        <v>0.8795453505426811</v>
      </c>
      <c r="K80" s="36">
        <f>(K$65*IF($B$8=1,'Approved Tariffs'!$N23,IF($B$8=2,'Approved Tariffs'!$O23,IF($B$8=3,'Approved Tariffs'!$P23,IF($B$8=5,'Approved Tariffs'!$Q23,0))))/$E$61)+'Approved Tariffs'!$F23+IF($D80="CS",'Approved Tariffs'!$F$40,0)</f>
        <v>0.8749689938398356</v>
      </c>
      <c r="L80" s="36">
        <f>(L$65*IF($B$8=1,'Approved Tariffs'!$N23,IF($B$8=2,'Approved Tariffs'!$O23,IF($B$8=3,'Approved Tariffs'!$P23,IF($B$8=5,'Approved Tariffs'!$Q23,0))))/$E$61)+'Approved Tariffs'!$F23+IF($D80="CS",'Approved Tariffs'!$F$40,0)</f>
        <v>0.870964681724846</v>
      </c>
      <c r="M80" s="36">
        <f>(M$65*IF($B$8=1,'Approved Tariffs'!$N23,IF($B$8=2,'Approved Tariffs'!$O23,IF($B$8=3,'Approved Tariffs'!$P23,IF($B$8=5,'Approved Tariffs'!$Q23,0))))/$E$61)+'Approved Tariffs'!$F23+IF($D80="CS",'Approved Tariffs'!$F$40,0)</f>
        <v>0.8674314651527961</v>
      </c>
      <c r="N80" s="36">
        <f>(N$65*IF($B$8=1,'Approved Tariffs'!$N23,IF($B$8=2,'Approved Tariffs'!$O23,IF($B$8=3,'Approved Tariffs'!$P23,IF($B$8=5,'Approved Tariffs'!$Q23,0))))/$E$61)+'Approved Tariffs'!$F23+IF($D80="CS",'Approved Tariffs'!$F$40,0)</f>
        <v>0.864290828199863</v>
      </c>
      <c r="O80" s="36">
        <f>(O$65*IF($B$8=1,'Approved Tariffs'!$N23,IF($B$8=2,'Approved Tariffs'!$O23,IF($B$8=3,'Approved Tariffs'!$P23,IF($B$8=5,'Approved Tariffs'!$Q23,0))))/$E$61)+'Approved Tariffs'!$F23+IF($D80="CS",'Approved Tariffs'!$F$40,0)</f>
        <v>0.8614807846103966</v>
      </c>
      <c r="P80" s="37">
        <f>(P$65*IF($B$8=1,'Approved Tariffs'!$N23,IF($B$8=2,'Approved Tariffs'!$O23,IF($B$8=3,'Approved Tariffs'!$P23,IF($B$8=5,'Approved Tariffs'!$Q23,0))))/$E$61)+'Approved Tariffs'!$F23+IF($D80="CS",'Approved Tariffs'!$F$40,0)</f>
        <v>0.864290828199863</v>
      </c>
      <c r="Q80" s="88"/>
    </row>
    <row r="81" spans="2:17" ht="15.75">
      <c r="B81" s="5">
        <v>13</v>
      </c>
      <c r="C81" s="3" t="s">
        <v>23</v>
      </c>
      <c r="D81" s="143" t="str">
        <f>IF(OR($B$8=1,$B$8=2,$B$8=5),"CS","")</f>
        <v>CS</v>
      </c>
      <c r="E81" s="34">
        <f>(((IF($B$8=1,'Approved Tariffs'!$N24,IF($B$8=2,'Approved Tariffs'!$O24,IF($B$8=3,'Approved Tariffs'!$P24,IF($B$8=5,'Approved Tariffs'!$Q24,0))))*IF(F$65="",E$65,F$65)))/$E$61)+'Approved Tariffs'!$F24+IF($D81="CS",'Approved Tariffs'!$F$40,0)</f>
        <v>0.5305724845995893</v>
      </c>
      <c r="F81" s="87"/>
      <c r="G81" s="87"/>
      <c r="H81" s="35">
        <f>(H$65*IF($B$8=1,'Approved Tariffs'!$N24,IF($B$8=2,'Approved Tariffs'!$O24,IF($B$8=3,'Approved Tariffs'!$P24,IF($B$8=5,'Approved Tariffs'!$Q24,0))))/$E$61)+'Approved Tariffs'!$F24+IF($D81="CS",'Approved Tariffs'!$F$40,0)</f>
        <v>0.45048624229979467</v>
      </c>
      <c r="I81" s="36">
        <f>(I$65*IF($B$8=1,'Approved Tariffs'!$N24,IF($B$8=2,'Approved Tariffs'!$O24,IF($B$8=3,'Approved Tariffs'!$P24,IF($B$8=5,'Approved Tariffs'!$Q24,0))))/$E$61)+'Approved Tariffs'!$F24+IF($D81="CS",'Approved Tariffs'!$F$40,0)</f>
        <v>0.4443257621228874</v>
      </c>
      <c r="J81" s="36">
        <f>(J$65*IF($B$8=1,'Approved Tariffs'!$N24,IF($B$8=2,'Approved Tariffs'!$O24,IF($B$8=3,'Approved Tariffs'!$P24,IF($B$8=5,'Approved Tariffs'!$Q24,0))))/$E$61)+'Approved Tariffs'!$F24+IF($D81="CS",'Approved Tariffs'!$F$40,0)</f>
        <v>0.4390453505426811</v>
      </c>
      <c r="K81" s="36">
        <f>(K$65*IF($B$8=1,'Approved Tariffs'!$N24,IF($B$8=2,'Approved Tariffs'!$O24,IF($B$8=3,'Approved Tariffs'!$P24,IF($B$8=5,'Approved Tariffs'!$Q24,0))))/$E$61)+'Approved Tariffs'!$F24+IF($D81="CS",'Approved Tariffs'!$F$40,0)</f>
        <v>0.4344689938398357</v>
      </c>
      <c r="L81" s="36">
        <f>(L$65*IF($B$8=1,'Approved Tariffs'!$N24,IF($B$8=2,'Approved Tariffs'!$O24,IF($B$8=3,'Approved Tariffs'!$P24,IF($B$8=5,'Approved Tariffs'!$Q24,0))))/$E$61)+'Approved Tariffs'!$F24+IF($D81="CS",'Approved Tariffs'!$F$40,0)</f>
        <v>0.430464681724846</v>
      </c>
      <c r="M81" s="36">
        <f>(M$65*IF($B$8=1,'Approved Tariffs'!$N24,IF($B$8=2,'Approved Tariffs'!$O24,IF($B$8=3,'Approved Tariffs'!$P24,IF($B$8=5,'Approved Tariffs'!$Q24,0))))/$E$61)+'Approved Tariffs'!$F24+IF($D81="CS",'Approved Tariffs'!$F$40,0)</f>
        <v>0.42693146515279623</v>
      </c>
      <c r="N81" s="36">
        <f>(N$65*IF($B$8=1,'Approved Tariffs'!$N24,IF($B$8=2,'Approved Tariffs'!$O24,IF($B$8=3,'Approved Tariffs'!$P24,IF($B$8=5,'Approved Tariffs'!$Q24,0))))/$E$61)+'Approved Tariffs'!$F24+IF($D81="CS",'Approved Tariffs'!$F$40,0)</f>
        <v>0.4237908281998631</v>
      </c>
      <c r="O81" s="36">
        <f>(O$65*IF($B$8=1,'Approved Tariffs'!$N24,IF($B$8=2,'Approved Tariffs'!$O24,IF($B$8=3,'Approved Tariffs'!$P24,IF($B$8=5,'Approved Tariffs'!$Q24,0))))/$E$61)+'Approved Tariffs'!$F24+IF($D81="CS",'Approved Tariffs'!$F$40,0)</f>
        <v>0.4209807846103966</v>
      </c>
      <c r="P81" s="37">
        <f>(P$65*IF($B$8=1,'Approved Tariffs'!$N24,IF($B$8=2,'Approved Tariffs'!$O24,IF($B$8=3,'Approved Tariffs'!$P24,IF($B$8=5,'Approved Tariffs'!$Q24,0))))/$E$61)+'Approved Tariffs'!$F24+IF($D81="CS",'Approved Tariffs'!$F$40,0)</f>
        <v>0.42379082819986313</v>
      </c>
      <c r="Q81" s="88"/>
    </row>
    <row r="82" spans="2:17" ht="15.75">
      <c r="B82" s="5">
        <v>17</v>
      </c>
      <c r="C82" s="3" t="s">
        <v>24</v>
      </c>
      <c r="D82" s="143"/>
      <c r="E82" s="34">
        <f>(((IF($B$8=1,'Approved Tariffs'!$N25,IF($B$8=2,'Approved Tariffs'!$O25,IF($B$8=3,'Approved Tariffs'!$P25,IF($B$8=5,'Approved Tariffs'!$Q25,0))))*IF(F$65="",E$65,F$65)))/$E$61)+'Approved Tariffs'!$F25+IF($D82="CS",'Approved Tariffs'!$F$40,0)</f>
        <v>1.6630724845995892</v>
      </c>
      <c r="F82" s="101">
        <f>IF($B$8=2," Matched","")</f>
      </c>
      <c r="G82" s="87"/>
      <c r="H82" s="35">
        <f>(H$65*IF($B$8=1,'Approved Tariffs'!$N25,IF($B$8=2,'Approved Tariffs'!$O25,IF($B$8=3,'Approved Tariffs'!$P25,IF($B$8=5,'Approved Tariffs'!$Q25,0))))/$E$61)+'Approved Tariffs'!$F25+IF($D82="CS",'Approved Tariffs'!$F$40,0)</f>
        <v>1.5829862422997945</v>
      </c>
      <c r="I82" s="36">
        <f>(I$65*IF($B$8=1,'Approved Tariffs'!$N25,IF($B$8=2,'Approved Tariffs'!$O25,IF($B$8=3,'Approved Tariffs'!$P25,IF($B$8=5,'Approved Tariffs'!$Q25,0))))/$E$61)+'Approved Tariffs'!$F25+IF($D82="CS",'Approved Tariffs'!$F$40,0)</f>
        <v>1.5768257621228874</v>
      </c>
      <c r="J82" s="36">
        <f>(J$65*IF($B$8=1,'Approved Tariffs'!$N25,IF($B$8=2,'Approved Tariffs'!$O25,IF($B$8=3,'Approved Tariffs'!$P25,IF($B$8=5,'Approved Tariffs'!$Q25,0))))/$E$61)+'Approved Tariffs'!$F25+IF($D82="CS",'Approved Tariffs'!$F$40,0)</f>
        <v>1.571545350542681</v>
      </c>
      <c r="K82" s="36">
        <f>(K$65*IF($B$8=1,'Approved Tariffs'!$N25,IF($B$8=2,'Approved Tariffs'!$O25,IF($B$8=3,'Approved Tariffs'!$P25,IF($B$8=5,'Approved Tariffs'!$Q25,0))))/$E$61)+'Approved Tariffs'!$F25+IF($D82="CS",'Approved Tariffs'!$F$40,0)</f>
        <v>1.5669689938398357</v>
      </c>
      <c r="L82" s="36">
        <f>(L$65*IF($B$8=1,'Approved Tariffs'!$N25,IF($B$8=2,'Approved Tariffs'!$O25,IF($B$8=3,'Approved Tariffs'!$P25,IF($B$8=5,'Approved Tariffs'!$Q25,0))))/$E$61)+'Approved Tariffs'!$F25+IF($D82="CS",'Approved Tariffs'!$F$40,0)</f>
        <v>1.562964681724846</v>
      </c>
      <c r="M82" s="36">
        <f>(M$65*IF($B$8=1,'Approved Tariffs'!$N25,IF($B$8=2,'Approved Tariffs'!$O25,IF($B$8=3,'Approved Tariffs'!$P25,IF($B$8=5,'Approved Tariffs'!$Q25,0))))/$E$61)+'Approved Tariffs'!$F25+IF($D82="CS",'Approved Tariffs'!$F$40,0)</f>
        <v>1.559431465152796</v>
      </c>
      <c r="N82" s="36">
        <f>(N$65*IF($B$8=1,'Approved Tariffs'!$N25,IF($B$8=2,'Approved Tariffs'!$O25,IF($B$8=3,'Approved Tariffs'!$P25,IF($B$8=5,'Approved Tariffs'!$Q25,0))))/$E$61)+'Approved Tariffs'!$F25+IF($D82="CS",'Approved Tariffs'!$F$40,0)</f>
        <v>1.556290828199863</v>
      </c>
      <c r="O82" s="36">
        <f>(O$65*IF($B$8=1,'Approved Tariffs'!$N25,IF($B$8=2,'Approved Tariffs'!$O25,IF($B$8=3,'Approved Tariffs'!$P25,IF($B$8=5,'Approved Tariffs'!$Q25,0))))/$E$61)+'Approved Tariffs'!$F25+IF($D82="CS",'Approved Tariffs'!$F$40,0)</f>
        <v>1.5534807846103964</v>
      </c>
      <c r="P82" s="37">
        <f>(P$65*IF($B$8=1,'Approved Tariffs'!$N25,IF($B$8=2,'Approved Tariffs'!$O25,IF($B$8=3,'Approved Tariffs'!$P25,IF($B$8=5,'Approved Tariffs'!$Q25,0))))/$E$61)+'Approved Tariffs'!$F25+IF($D82="CS",'Approved Tariffs'!$F$40,0)</f>
        <v>1.556290828199863</v>
      </c>
      <c r="Q82" s="88"/>
    </row>
    <row r="83" spans="2:17" ht="15.75">
      <c r="B83" s="5">
        <v>18</v>
      </c>
      <c r="C83" s="3" t="s">
        <v>25</v>
      </c>
      <c r="D83" s="143">
        <f>IF(OR($B$8=2,$B$8=3),"CS","")</f>
      </c>
      <c r="E83" s="34">
        <f>(((IF($B$8=1,'Approved Tariffs'!$N26,IF($B$8=2,'Approved Tariffs'!$O26,IF($B$8=3,'Approved Tariffs'!$P26,IF($B$8=5,'Approved Tariffs'!$Q26,0))))*IF(F$65="",E$65,F$65)))/$E$61)+'Approved Tariffs'!$F26+IF($D83="CS",'Approved Tariffs'!$F$40,0)</f>
        <v>0.2554813141683778</v>
      </c>
      <c r="F83" s="87"/>
      <c r="G83" s="87"/>
      <c r="H83" s="35">
        <f>(H$65*IF($B$8=1,'Approved Tariffs'!$N26,IF($B$8=2,'Approved Tariffs'!$O26,IF($B$8=3,'Approved Tariffs'!$P26,IF($B$8=5,'Approved Tariffs'!$Q26,0))))/$E$61)+'Approved Tariffs'!$F26+IF($D83="CS",'Approved Tariffs'!$F$40,0)</f>
        <v>0.2328406570841889</v>
      </c>
      <c r="I83" s="36">
        <f>(I$65*IF($B$8=1,'Approved Tariffs'!$N26,IF($B$8=2,'Approved Tariffs'!$O26,IF($B$8=3,'Approved Tariffs'!$P26,IF($B$8=5,'Approved Tariffs'!$Q26,0))))/$E$61)+'Approved Tariffs'!$F26+IF($D83="CS",'Approved Tariffs'!$F$40,0)</f>
        <v>0.23109906807771285</v>
      </c>
      <c r="J83" s="36">
        <f>(J$65*IF($B$8=1,'Approved Tariffs'!$N26,IF($B$8=2,'Approved Tariffs'!$O26,IF($B$8=3,'Approved Tariffs'!$P26,IF($B$8=5,'Approved Tariffs'!$Q26,0))))/$E$61)+'Approved Tariffs'!$F26+IF($D83="CS",'Approved Tariffs'!$F$40,0)</f>
        <v>0.22960627750073334</v>
      </c>
      <c r="K83" s="36">
        <f>(K$65*IF($B$8=1,'Approved Tariffs'!$N26,IF($B$8=2,'Approved Tariffs'!$O26,IF($B$8=3,'Approved Tariffs'!$P26,IF($B$8=5,'Approved Tariffs'!$Q26,0))))/$E$61)+'Approved Tariffs'!$F26+IF($D83="CS",'Approved Tariffs'!$F$40,0)</f>
        <v>0.2283125256673511</v>
      </c>
      <c r="L83" s="36">
        <f>(L$65*IF($B$8=1,'Approved Tariffs'!$N26,IF($B$8=2,'Approved Tariffs'!$O26,IF($B$8=3,'Approved Tariffs'!$P26,IF($B$8=5,'Approved Tariffs'!$Q26,0))))/$E$61)+'Approved Tariffs'!$F26+IF($D83="CS",'Approved Tariffs'!$F$40,0)</f>
        <v>0.22718049281314168</v>
      </c>
      <c r="M83" s="36">
        <f>(M$65*IF($B$8=1,'Approved Tariffs'!$N26,IF($B$8=2,'Approved Tariffs'!$O26,IF($B$8=3,'Approved Tariffs'!$P26,IF($B$8=5,'Approved Tariffs'!$Q26,0))))/$E$61)+'Approved Tariffs'!$F26+IF($D83="CS",'Approved Tariffs'!$F$40,0)</f>
        <v>0.22618164029472157</v>
      </c>
      <c r="N83" s="36">
        <f>(N$65*IF($B$8=1,'Approved Tariffs'!$N26,IF($B$8=2,'Approved Tariffs'!$O26,IF($B$8=3,'Approved Tariffs'!$P26,IF($B$8=5,'Approved Tariffs'!$Q26,0))))/$E$61)+'Approved Tariffs'!$F26+IF($D83="CS",'Approved Tariffs'!$F$40,0)</f>
        <v>0.22529377138945927</v>
      </c>
      <c r="O83" s="36">
        <f>(O$65*IF($B$8=1,'Approved Tariffs'!$N26,IF($B$8=2,'Approved Tariffs'!$O26,IF($B$8=3,'Approved Tariffs'!$P26,IF($B$8=5,'Approved Tariffs'!$Q26,0))))/$E$61)+'Approved Tariffs'!$F26+IF($D83="CS",'Approved Tariffs'!$F$40,0)</f>
        <v>0.2244993623689614</v>
      </c>
      <c r="P83" s="37">
        <f>(P$65*IF($B$8=1,'Approved Tariffs'!$N26,IF($B$8=2,'Approved Tariffs'!$O26,IF($B$8=3,'Approved Tariffs'!$P26,IF($B$8=5,'Approved Tariffs'!$Q26,0))))/$E$61)+'Approved Tariffs'!$F26+IF($D83="CS",'Approved Tariffs'!$F$40,0)</f>
        <v>0.22529377138945927</v>
      </c>
      <c r="Q83" s="88"/>
    </row>
    <row r="84" spans="2:20" s="220" customFormat="1" ht="15.75" hidden="1">
      <c r="B84" s="219">
        <v>19</v>
      </c>
      <c r="C84" s="220" t="s">
        <v>28</v>
      </c>
      <c r="D84" s="221"/>
      <c r="E84" s="222"/>
      <c r="F84" s="223"/>
      <c r="G84" s="223"/>
      <c r="H84" s="224"/>
      <c r="I84" s="225"/>
      <c r="J84" s="225"/>
      <c r="K84" s="225"/>
      <c r="L84" s="225"/>
      <c r="M84" s="225"/>
      <c r="N84" s="225"/>
      <c r="O84" s="225"/>
      <c r="P84" s="226"/>
      <c r="Q84" s="227"/>
      <c r="R84" s="219"/>
      <c r="S84" s="219"/>
      <c r="T84" s="219"/>
    </row>
    <row r="85" spans="2:17" ht="15.75">
      <c r="B85" s="5">
        <v>20</v>
      </c>
      <c r="C85" s="98" t="s">
        <v>57</v>
      </c>
      <c r="D85" s="143"/>
      <c r="E85" s="34">
        <f>(((IF($B$8=1,'Approved Tariffs'!$N28,IF($B$8=2,'Approved Tariffs'!$O28,IF($B$8=3,'Approved Tariffs'!$P28,IF($B$8=5,'Approved Tariffs'!$Q28,0))))*IF(F$65="",E$65,F$65)))/$E$61)+'Approved Tariffs'!$F28+IF($D85="CS",'Approved Tariffs'!$F$40,0)</f>
        <v>0.5335724845995893</v>
      </c>
      <c r="F85" s="101">
        <f>IF($B$8=5," Matched","")</f>
      </c>
      <c r="G85" s="87"/>
      <c r="H85" s="35">
        <f>(H$65*IF($B$8=1,'Approved Tariffs'!$N28,IF($B$8=2,'Approved Tariffs'!$O28,IF($B$8=3,'Approved Tariffs'!$P28,IF($B$8=5,'Approved Tariffs'!$Q28,0))))/$E$61)+'Approved Tariffs'!$F28+IF($D85="CS",'Approved Tariffs'!$F$40,0)</f>
        <v>0.4534862422997947</v>
      </c>
      <c r="I85" s="36">
        <f>(I$65*IF($B$8=1,'Approved Tariffs'!$N28,IF($B$8=2,'Approved Tariffs'!$O28,IF($B$8=3,'Approved Tariffs'!$P28,IF($B$8=5,'Approved Tariffs'!$Q28,0))))/$E$61)+'Approved Tariffs'!$F28+IF($D85="CS",'Approved Tariffs'!$F$40,0)</f>
        <v>0.4473257621228874</v>
      </c>
      <c r="J85" s="36">
        <f>(J$65*IF($B$8=1,'Approved Tariffs'!$N28,IF($B$8=2,'Approved Tariffs'!$O28,IF($B$8=3,'Approved Tariffs'!$P28,IF($B$8=5,'Approved Tariffs'!$Q28,0))))/$E$61)+'Approved Tariffs'!$F28+IF($D85="CS",'Approved Tariffs'!$F$40,0)</f>
        <v>0.4420453505426811</v>
      </c>
      <c r="K85" s="36">
        <f>(K$65*IF($B$8=1,'Approved Tariffs'!$N28,IF($B$8=2,'Approved Tariffs'!$O28,IF($B$8=3,'Approved Tariffs'!$P28,IF($B$8=5,'Approved Tariffs'!$Q28,0))))/$E$61)+'Approved Tariffs'!$F28+IF($D85="CS",'Approved Tariffs'!$F$40,0)</f>
        <v>0.43746899383983573</v>
      </c>
      <c r="L85" s="36">
        <f>(L$65*IF($B$8=1,'Approved Tariffs'!$N28,IF($B$8=2,'Approved Tariffs'!$O28,IF($B$8=3,'Approved Tariffs'!$P28,IF($B$8=5,'Approved Tariffs'!$Q28,0))))/$E$61)+'Approved Tariffs'!$F28+IF($D85="CS",'Approved Tariffs'!$F$40,0)</f>
        <v>0.433464681724846</v>
      </c>
      <c r="M85" s="36">
        <f>(M$65*IF($B$8=1,'Approved Tariffs'!$N28,IF($B$8=2,'Approved Tariffs'!$O28,IF($B$8=3,'Approved Tariffs'!$P28,IF($B$8=5,'Approved Tariffs'!$Q28,0))))/$E$61)+'Approved Tariffs'!$F28+IF($D85="CS",'Approved Tariffs'!$F$40,0)</f>
        <v>0.42993146515279623</v>
      </c>
      <c r="N85" s="36">
        <f>(N$65*IF($B$8=1,'Approved Tariffs'!$N28,IF($B$8=2,'Approved Tariffs'!$O28,IF($B$8=3,'Approved Tariffs'!$P28,IF($B$8=5,'Approved Tariffs'!$Q28,0))))/$E$61)+'Approved Tariffs'!$F28+IF($D85="CS",'Approved Tariffs'!$F$40,0)</f>
        <v>0.4267908281998631</v>
      </c>
      <c r="O85" s="36">
        <f>(O$65*IF($B$8=1,'Approved Tariffs'!$N28,IF($B$8=2,'Approved Tariffs'!$O28,IF($B$8=3,'Approved Tariffs'!$P28,IF($B$8=5,'Approved Tariffs'!$Q28,0))))/$E$61)+'Approved Tariffs'!$F28+IF($D85="CS",'Approved Tariffs'!$F$40,0)</f>
        <v>0.4239807846103966</v>
      </c>
      <c r="P85" s="37">
        <f>(P$65*IF($B$8=1,'Approved Tariffs'!$N28,IF($B$8=2,'Approved Tariffs'!$O28,IF($B$8=3,'Approved Tariffs'!$P28,IF($B$8=5,'Approved Tariffs'!$Q28,0))))/$E$61)+'Approved Tariffs'!$F28+IF($D85="CS",'Approved Tariffs'!$F$40,0)</f>
        <v>0.4267908281998631</v>
      </c>
      <c r="Q85" s="88"/>
    </row>
    <row r="86" spans="2:17" ht="15.75">
      <c r="B86" s="5">
        <v>21</v>
      </c>
      <c r="C86" s="3" t="s">
        <v>26</v>
      </c>
      <c r="D86" s="143" t="str">
        <f>IF(OR($B$8=1,$B$8=2,$B$8=5),"CS","")</f>
        <v>CS</v>
      </c>
      <c r="E86" s="34">
        <f>(((IF($B$8=1,'Approved Tariffs'!$N29,IF($B$8=2,'Approved Tariffs'!$O29,IF($B$8=3,'Approved Tariffs'!$P29,IF($B$8=5,'Approved Tariffs'!$Q29,0))))*IF(F$65="",E$65,F$65)))/$E$61)+'Approved Tariffs'!$F29+IF($D86="CS",'Approved Tariffs'!$F$40,0)</f>
        <v>0.5547724845995893</v>
      </c>
      <c r="F86" s="87"/>
      <c r="G86" s="87"/>
      <c r="H86" s="35">
        <f>(H$65*IF($B$8=1,'Approved Tariffs'!$N29,IF($B$8=2,'Approved Tariffs'!$O29,IF($B$8=3,'Approved Tariffs'!$P29,IF($B$8=5,'Approved Tariffs'!$Q29,0))))/$E$61)+'Approved Tariffs'!$F29+IF($D86="CS",'Approved Tariffs'!$F$40,0)</f>
        <v>0.47468624229979467</v>
      </c>
      <c r="I86" s="36">
        <f>(I$65*IF($B$8=1,'Approved Tariffs'!$N29,IF($B$8=2,'Approved Tariffs'!$O29,IF($B$8=3,'Approved Tariffs'!$P29,IF($B$8=5,'Approved Tariffs'!$Q29,0))))/$E$61)+'Approved Tariffs'!$F29+IF($D86="CS",'Approved Tariffs'!$F$40,0)</f>
        <v>0.4685257621228874</v>
      </c>
      <c r="J86" s="36">
        <f>(J$65*IF($B$8=1,'Approved Tariffs'!$N29,IF($B$8=2,'Approved Tariffs'!$O29,IF($B$8=3,'Approved Tariffs'!$P29,IF($B$8=5,'Approved Tariffs'!$Q29,0))))/$E$61)+'Approved Tariffs'!$F29+IF($D86="CS",'Approved Tariffs'!$F$40,0)</f>
        <v>0.4632453505426811</v>
      </c>
      <c r="K86" s="36">
        <f>(K$65*IF($B$8=1,'Approved Tariffs'!$N29,IF($B$8=2,'Approved Tariffs'!$O29,IF($B$8=3,'Approved Tariffs'!$P29,IF($B$8=5,'Approved Tariffs'!$Q29,0))))/$E$61)+'Approved Tariffs'!$F29+IF($D86="CS",'Approved Tariffs'!$F$40,0)</f>
        <v>0.4586689938398357</v>
      </c>
      <c r="L86" s="36">
        <f>(L$65*IF($B$8=1,'Approved Tariffs'!$N29,IF($B$8=2,'Approved Tariffs'!$O29,IF($B$8=3,'Approved Tariffs'!$P29,IF($B$8=5,'Approved Tariffs'!$Q29,0))))/$E$61)+'Approved Tariffs'!$F29+IF($D86="CS",'Approved Tariffs'!$F$40,0)</f>
        <v>0.454664681724846</v>
      </c>
      <c r="M86" s="36">
        <f>(M$65*IF($B$8=1,'Approved Tariffs'!$N29,IF($B$8=2,'Approved Tariffs'!$O29,IF($B$8=3,'Approved Tariffs'!$P29,IF($B$8=5,'Approved Tariffs'!$Q29,0))))/$E$61)+'Approved Tariffs'!$F29+IF($D86="CS",'Approved Tariffs'!$F$40,0)</f>
        <v>0.45113146515279623</v>
      </c>
      <c r="N86" s="36">
        <f>(N$65*IF($B$8=1,'Approved Tariffs'!$N29,IF($B$8=2,'Approved Tariffs'!$O29,IF($B$8=3,'Approved Tariffs'!$P29,IF($B$8=5,'Approved Tariffs'!$Q29,0))))/$E$61)+'Approved Tariffs'!$F29+IF($D86="CS",'Approved Tariffs'!$F$40,0)</f>
        <v>0.4479908281998631</v>
      </c>
      <c r="O86" s="36">
        <f>(O$65*IF($B$8=1,'Approved Tariffs'!$N29,IF($B$8=2,'Approved Tariffs'!$O29,IF($B$8=3,'Approved Tariffs'!$P29,IF($B$8=5,'Approved Tariffs'!$Q29,0))))/$E$61)+'Approved Tariffs'!$F29+IF($D86="CS",'Approved Tariffs'!$F$40,0)</f>
        <v>0.4451807846103966</v>
      </c>
      <c r="P86" s="37">
        <f>(P$65*IF($B$8=1,'Approved Tariffs'!$N29,IF($B$8=2,'Approved Tariffs'!$O29,IF($B$8=3,'Approved Tariffs'!$P29,IF($B$8=5,'Approved Tariffs'!$Q29,0))))/$E$61)+'Approved Tariffs'!$F29+IF($D86="CS",'Approved Tariffs'!$F$40,0)</f>
        <v>0.44799082819986313</v>
      </c>
      <c r="Q86" s="88"/>
    </row>
    <row r="87" spans="2:17" ht="15.75">
      <c r="B87" s="5">
        <v>22</v>
      </c>
      <c r="C87" s="88" t="s">
        <v>27</v>
      </c>
      <c r="D87" s="143" t="str">
        <f>IF(OR($B$8=1,$B$8=2,$B$8=5),"CS","")</f>
        <v>CS</v>
      </c>
      <c r="E87" s="34">
        <f>(((IF($B$8=1,'Approved Tariffs'!$N30,IF($B$8=2,'Approved Tariffs'!$O30,IF($B$8=3,'Approved Tariffs'!$P30,IF($B$8=5,'Approved Tariffs'!$Q30,0))))*IF(F$65="",E$65,F$65)))/$E$61)+'Approved Tariffs'!$F30+IF($D87="CS",'Approved Tariffs'!$F$40,0)</f>
        <v>1.0774724845995893</v>
      </c>
      <c r="F87" s="87"/>
      <c r="G87" s="87"/>
      <c r="H87" s="35">
        <f>(H$65*IF($B$8=1,'Approved Tariffs'!$N30,IF($B$8=2,'Approved Tariffs'!$O30,IF($B$8=3,'Approved Tariffs'!$P30,IF($B$8=5,'Approved Tariffs'!$Q30,0))))/$E$61)+'Approved Tariffs'!$F30+IF($D87="CS",'Approved Tariffs'!$F$40,0)</f>
        <v>0.9973862422997947</v>
      </c>
      <c r="I87" s="36">
        <f>(I$65*IF($B$8=1,'Approved Tariffs'!$N30,IF($B$8=2,'Approved Tariffs'!$O30,IF($B$8=3,'Approved Tariffs'!$P30,IF($B$8=5,'Approved Tariffs'!$Q30,0))))/$E$61)+'Approved Tariffs'!$F30+IF($D87="CS",'Approved Tariffs'!$F$40,0)</f>
        <v>0.9912257621228874</v>
      </c>
      <c r="J87" s="36">
        <f>(J$65*IF($B$8=1,'Approved Tariffs'!$N30,IF($B$8=2,'Approved Tariffs'!$O30,IF($B$8=3,'Approved Tariffs'!$P30,IF($B$8=5,'Approved Tariffs'!$Q30,0))))/$E$61)+'Approved Tariffs'!$F30+IF($D87="CS",'Approved Tariffs'!$F$40,0)</f>
        <v>0.9859453505426812</v>
      </c>
      <c r="K87" s="36">
        <f>(K$65*IF($B$8=1,'Approved Tariffs'!$N30,IF($B$8=2,'Approved Tariffs'!$O30,IF($B$8=3,'Approved Tariffs'!$P30,IF($B$8=5,'Approved Tariffs'!$Q30,0))))/$E$61)+'Approved Tariffs'!$F30+IF($D87="CS",'Approved Tariffs'!$F$40,0)</f>
        <v>0.9813689938398357</v>
      </c>
      <c r="L87" s="36">
        <f>(L$65*IF($B$8=1,'Approved Tariffs'!$N30,IF($B$8=2,'Approved Tariffs'!$O30,IF($B$8=3,'Approved Tariffs'!$P30,IF($B$8=5,'Approved Tariffs'!$Q30,0))))/$E$61)+'Approved Tariffs'!$F30+IF($D87="CS",'Approved Tariffs'!$F$40,0)</f>
        <v>0.977364681724846</v>
      </c>
      <c r="M87" s="36">
        <f>(M$65*IF($B$8=1,'Approved Tariffs'!$N30,IF($B$8=2,'Approved Tariffs'!$O30,IF($B$8=3,'Approved Tariffs'!$P30,IF($B$8=5,'Approved Tariffs'!$Q30,0))))/$E$61)+'Approved Tariffs'!$F30+IF($D87="CS",'Approved Tariffs'!$F$40,0)</f>
        <v>0.9738314651527962</v>
      </c>
      <c r="N87" s="36">
        <f>(N$65*IF($B$8=1,'Approved Tariffs'!$N30,IF($B$8=2,'Approved Tariffs'!$O30,IF($B$8=3,'Approved Tariffs'!$P30,IF($B$8=5,'Approved Tariffs'!$Q30,0))))/$E$61)+'Approved Tariffs'!$F30+IF($D87="CS",'Approved Tariffs'!$F$40,0)</f>
        <v>0.9706908281998631</v>
      </c>
      <c r="O87" s="36">
        <f>(O$65*IF($B$8=1,'Approved Tariffs'!$N30,IF($B$8=2,'Approved Tariffs'!$O30,IF($B$8=3,'Approved Tariffs'!$P30,IF($B$8=5,'Approved Tariffs'!$Q30,0))))/$E$61)+'Approved Tariffs'!$F30+IF($D87="CS",'Approved Tariffs'!$F$40,0)</f>
        <v>0.9678807846103966</v>
      </c>
      <c r="P87" s="37">
        <f>(P$65*IF($B$8=1,'Approved Tariffs'!$N30,IF($B$8=2,'Approved Tariffs'!$O30,IF($B$8=3,'Approved Tariffs'!$P30,IF($B$8=5,'Approved Tariffs'!$Q30,0))))/$E$61)+'Approved Tariffs'!$F30+IF($D87="CS",'Approved Tariffs'!$F$40,0)</f>
        <v>0.9706908281998631</v>
      </c>
      <c r="Q87" s="88"/>
    </row>
    <row r="88" spans="2:20" s="220" customFormat="1" ht="15.75" hidden="1">
      <c r="B88" s="219">
        <v>23</v>
      </c>
      <c r="C88" s="220" t="s">
        <v>89</v>
      </c>
      <c r="D88" s="221"/>
      <c r="E88" s="222"/>
      <c r="F88" s="223"/>
      <c r="G88" s="223"/>
      <c r="H88" s="224"/>
      <c r="I88" s="225"/>
      <c r="J88" s="225"/>
      <c r="K88" s="225"/>
      <c r="L88" s="225"/>
      <c r="M88" s="225"/>
      <c r="N88" s="225"/>
      <c r="O88" s="225"/>
      <c r="P88" s="226"/>
      <c r="Q88" s="227"/>
      <c r="R88" s="219"/>
      <c r="S88" s="219"/>
      <c r="T88" s="219"/>
    </row>
    <row r="89" spans="2:17" ht="16.5" thickBot="1">
      <c r="B89" s="5">
        <v>24</v>
      </c>
      <c r="C89" s="88" t="s">
        <v>98</v>
      </c>
      <c r="D89" s="143" t="str">
        <f>IF(OR($B$8=1,$B$8=2,$B$8=5),"CS","")</f>
        <v>CS</v>
      </c>
      <c r="E89" s="217">
        <f>(((IF($B$8=1,'Approved Tariffs'!$N32,IF($B$8=2,'Approved Tariffs'!$O32,IF($B$8=3,'Approved Tariffs'!$P32,IF($B$8=5,'Approved Tariffs'!$Q32,0))))*IF(F$65="",E$65,F$65)))/$E$61)+'Approved Tariffs'!$F32+IF($D89="CS",'Approved Tariffs'!$F$40,0)</f>
        <v>0.6677724845995893</v>
      </c>
      <c r="F89" s="87"/>
      <c r="G89" s="87"/>
      <c r="H89" s="41">
        <f>(H$65*IF($B$8=1,'Approved Tariffs'!$N32,IF($B$8=2,'Approved Tariffs'!$O32,IF($B$8=3,'Approved Tariffs'!$P32,IF($B$8=5,'Approved Tariffs'!$Q32,0))))/$E$61)+'Approved Tariffs'!$F32+IF($D89="CS",'Approved Tariffs'!$F$40,0)</f>
        <v>0.5876862422997946</v>
      </c>
      <c r="I89" s="42">
        <f>(I$65*IF($B$8=1,'Approved Tariffs'!$N32,IF($B$8=2,'Approved Tariffs'!$O32,IF($B$8=3,'Approved Tariffs'!$P32,IF($B$8=5,'Approved Tariffs'!$Q32,0))))/$E$61)+'Approved Tariffs'!$F32+IF($D89="CS",'Approved Tariffs'!$F$40,0)</f>
        <v>0.5815257621228873</v>
      </c>
      <c r="J89" s="42">
        <f>(J$65*IF($B$8=1,'Approved Tariffs'!$N32,IF($B$8=2,'Approved Tariffs'!$O32,IF($B$8=3,'Approved Tariffs'!$P32,IF($B$8=5,'Approved Tariffs'!$Q32,0))))/$E$61)+'Approved Tariffs'!$F32+IF($D89="CS",'Approved Tariffs'!$F$40,0)</f>
        <v>0.5762453505426811</v>
      </c>
      <c r="K89" s="42">
        <f>(K$65*IF($B$8=1,'Approved Tariffs'!$N32,IF($B$8=2,'Approved Tariffs'!$O32,IF($B$8=3,'Approved Tariffs'!$P32,IF($B$8=5,'Approved Tariffs'!$Q32,0))))/$E$61)+'Approved Tariffs'!$F32+IF($D89="CS",'Approved Tariffs'!$F$40,0)</f>
        <v>0.5716689938398357</v>
      </c>
      <c r="L89" s="42">
        <f>(L$65*IF($B$8=1,'Approved Tariffs'!$N32,IF($B$8=2,'Approved Tariffs'!$O32,IF($B$8=3,'Approved Tariffs'!$P32,IF($B$8=5,'Approved Tariffs'!$Q32,0))))/$E$61)+'Approved Tariffs'!$F32+IF($D89="CS",'Approved Tariffs'!$F$40,0)</f>
        <v>0.567664681724846</v>
      </c>
      <c r="M89" s="42">
        <f>(M$65*IF($B$8=1,'Approved Tariffs'!$N32,IF($B$8=2,'Approved Tariffs'!$O32,IF($B$8=3,'Approved Tariffs'!$P32,IF($B$8=5,'Approved Tariffs'!$Q32,0))))/$E$61)+'Approved Tariffs'!$F32+IF($D89="CS",'Approved Tariffs'!$F$40,0)</f>
        <v>0.5641314651527962</v>
      </c>
      <c r="N89" s="42">
        <f>(N$65*IF($B$8=1,'Approved Tariffs'!$N32,IF($B$8=2,'Approved Tariffs'!$O32,IF($B$8=3,'Approved Tariffs'!$P32,IF($B$8=5,'Approved Tariffs'!$Q32,0))))/$E$61)+'Approved Tariffs'!$F32+IF($D89="CS",'Approved Tariffs'!$F$40,0)</f>
        <v>0.560990828199863</v>
      </c>
      <c r="O89" s="42">
        <f>(O$65*IF($B$8=1,'Approved Tariffs'!$N32,IF($B$8=2,'Approved Tariffs'!$O32,IF($B$8=3,'Approved Tariffs'!$P32,IF($B$8=5,'Approved Tariffs'!$Q32,0))))/$E$61)+'Approved Tariffs'!$F32+IF($D89="CS",'Approved Tariffs'!$F$40,0)</f>
        <v>0.5581807846103966</v>
      </c>
      <c r="P89" s="43">
        <f>(P$65*IF($B$8=1,'Approved Tariffs'!$N32,IF($B$8=2,'Approved Tariffs'!$O32,IF($B$8=3,'Approved Tariffs'!$P32,IF($B$8=5,'Approved Tariffs'!$Q32,0))))/$E$61)+'Approved Tariffs'!$F32+IF($D89="CS",'Approved Tariffs'!$F$40,0)</f>
        <v>0.560990828199863</v>
      </c>
      <c r="Q89" s="88"/>
    </row>
    <row r="90" ht="15.75">
      <c r="Q90" s="88"/>
    </row>
    <row r="91" ht="15.75">
      <c r="Q91" s="88"/>
    </row>
    <row r="92" ht="15.75">
      <c r="Q92" s="88"/>
    </row>
    <row r="93" ht="15.75">
      <c r="Q93" s="88"/>
    </row>
    <row r="94" ht="15.75">
      <c r="Q94" s="88"/>
    </row>
  </sheetData>
  <sheetProtection/>
  <printOptions/>
  <pageMargins left="0.7874015748031497" right="0.7874015748031497" top="0.7874015748031497" bottom="0.7874015748031497" header="0.5118110236220472" footer="0.3937007874015748"/>
  <pageSetup fitToHeight="1" fitToWidth="1" horizontalDpi="600" verticalDpi="600" orientation="landscape" paperSize="9" scale="85" r:id="rId4"/>
  <headerFooter alignWithMargins="0">
    <oddFooter>&amp;L&amp;F  &amp;A&amp;CGasNet Australia&amp;R&amp;D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tabColor theme="0" tint="-0.3499799966812134"/>
    <pageSetUpPr fitToPage="1"/>
  </sheetPr>
  <dimension ref="B2:P129"/>
  <sheetViews>
    <sheetView zoomScale="80" zoomScaleNormal="80" zoomScalePageLayoutView="0" workbookViewId="0" topLeftCell="A25">
      <selection activeCell="E81" sqref="E81"/>
    </sheetView>
  </sheetViews>
  <sheetFormatPr defaultColWidth="9.140625" defaultRowHeight="12.75"/>
  <cols>
    <col min="1" max="1" width="2.7109375" style="3" customWidth="1"/>
    <col min="2" max="2" width="3.7109375" style="3" customWidth="1"/>
    <col min="3" max="3" width="32.7109375" style="3" customWidth="1"/>
    <col min="4" max="4" width="7.7109375" style="139" customWidth="1"/>
    <col min="5" max="5" width="11.7109375" style="3" customWidth="1"/>
    <col min="6" max="6" width="12.57421875" style="3" customWidth="1"/>
    <col min="7" max="7" width="11.7109375" style="3" customWidth="1"/>
    <col min="8" max="8" width="13.00390625" style="3" customWidth="1"/>
    <col min="9" max="9" width="11.7109375" style="3" customWidth="1"/>
    <col min="10" max="10" width="11.421875" style="3" customWidth="1"/>
    <col min="11" max="15" width="11.7109375" style="3" customWidth="1"/>
    <col min="16" max="16384" width="9.140625" style="3" customWidth="1"/>
  </cols>
  <sheetData>
    <row r="1" ht="6" customHeight="1"/>
    <row r="2" spans="2:16" ht="18" customHeight="1">
      <c r="B2" s="112" t="s">
        <v>61</v>
      </c>
      <c r="C2" s="75"/>
      <c r="D2" s="140"/>
      <c r="E2" s="75"/>
      <c r="F2" s="75"/>
      <c r="P2" s="5"/>
    </row>
    <row r="3" spans="2:16" s="98" customFormat="1" ht="18" customHeight="1">
      <c r="B3" s="77" t="s">
        <v>93</v>
      </c>
      <c r="C3" s="120"/>
      <c r="D3" s="141"/>
      <c r="P3" s="115"/>
    </row>
    <row r="4" spans="5:7" ht="12.75" customHeight="1">
      <c r="E4" s="147" t="s">
        <v>62</v>
      </c>
      <c r="F4" s="234" t="s">
        <v>63</v>
      </c>
      <c r="G4" s="234"/>
    </row>
    <row r="5" spans="3:7" ht="12.75" customHeight="1">
      <c r="C5" s="88" t="s">
        <v>64</v>
      </c>
      <c r="E5" s="45">
        <v>1</v>
      </c>
      <c r="F5" s="235" t="str">
        <f>IF(ISNA(VLOOKUP($E$5,'Approved Tariffs'!$B$13:$C$37,2,FALSE)),"Invalid",VLOOKUP($E$5,'Approved Tariffs'!$B$13:$C$37,2,FALSE))</f>
        <v>LaTrobe</v>
      </c>
      <c r="G5" s="235"/>
    </row>
    <row r="6" spans="3:4" ht="12.75" customHeight="1">
      <c r="C6" s="78"/>
      <c r="D6" s="142">
        <f>IF(E5=19,"Set Culcairn injections below to zero for NSW Export calculations.","")</f>
      </c>
    </row>
    <row r="7" spans="2:9" ht="12.75" customHeight="1">
      <c r="B7" s="5"/>
      <c r="D7" s="143"/>
      <c r="E7" s="231" t="s">
        <v>67</v>
      </c>
      <c r="F7" s="232"/>
      <c r="G7" s="232"/>
      <c r="H7" s="232"/>
      <c r="I7" s="233"/>
    </row>
    <row r="8" spans="4:9" ht="12.75" customHeight="1">
      <c r="D8" s="143"/>
      <c r="E8" s="46" t="s">
        <v>68</v>
      </c>
      <c r="F8" s="46" t="s">
        <v>4</v>
      </c>
      <c r="G8" s="46" t="s">
        <v>69</v>
      </c>
      <c r="H8" s="46" t="s">
        <v>10</v>
      </c>
      <c r="I8" s="46" t="s">
        <v>5</v>
      </c>
    </row>
    <row r="9" spans="5:9" ht="12.75" customHeight="1">
      <c r="E9" s="47">
        <v>101</v>
      </c>
      <c r="F9" s="47">
        <v>103</v>
      </c>
      <c r="G9" s="47">
        <v>104</v>
      </c>
      <c r="H9" s="47">
        <v>105</v>
      </c>
      <c r="I9" s="47">
        <v>107</v>
      </c>
    </row>
    <row r="10" spans="3:15" ht="12.75" customHeight="1">
      <c r="C10" s="88" t="s">
        <v>71</v>
      </c>
      <c r="E10" s="48">
        <v>0.7</v>
      </c>
      <c r="F10" s="49">
        <v>0.02</v>
      </c>
      <c r="G10" s="49">
        <v>0.002</v>
      </c>
      <c r="H10" s="49">
        <v>0.178</v>
      </c>
      <c r="I10" s="50">
        <v>0.1</v>
      </c>
      <c r="J10" s="117" t="str">
        <f>IF(1-SUM(E10:I10)&gt;0,"+",IF(1-SUM(E10:I10)&lt;0,"-",""))</f>
        <v>+</v>
      </c>
      <c r="K10" s="118" t="str">
        <f>IF(SUM(E10:I10)=1,"Sum okay",ABS(1-SUM(E10:I10)))</f>
        <v>Sum okay</v>
      </c>
      <c r="O10" s="116"/>
    </row>
    <row r="11" spans="3:15" ht="12.75" customHeight="1">
      <c r="C11" s="88" t="s">
        <v>72</v>
      </c>
      <c r="E11" s="51">
        <v>0.68</v>
      </c>
      <c r="F11" s="52">
        <v>0.03</v>
      </c>
      <c r="G11" s="52">
        <v>0.01</v>
      </c>
      <c r="H11" s="52">
        <v>0.18</v>
      </c>
      <c r="I11" s="53">
        <v>0.1</v>
      </c>
      <c r="J11" s="117" t="str">
        <f>IF(1-SUM(E11:I11)&gt;0,"+",IF(1-SUM(E11:I11)&lt;0,"-",""))</f>
        <v>-</v>
      </c>
      <c r="K11" s="118" t="str">
        <f>IF(SUM(E11:I11)=1,"Sum okay",ABS(1-SUM(E11:I11)))</f>
        <v>Sum okay</v>
      </c>
      <c r="O11" s="116"/>
    </row>
    <row r="12" spans="9:15" ht="12.75" customHeight="1">
      <c r="I12" s="119">
        <f>IF(SUM(E10:I10)=1,"","Withdrawal volume must sum to 100%")</f>
      </c>
      <c r="J12" s="117"/>
      <c r="K12" s="118"/>
      <c r="O12" s="116"/>
    </row>
    <row r="13" spans="9:15" ht="12.75" customHeight="1">
      <c r="I13" s="119">
        <f>IF(SUM(E11:I11)=1,"","Injection volume must sum to 100%")</f>
      </c>
      <c r="J13" s="117"/>
      <c r="K13" s="118"/>
      <c r="O13" s="116"/>
    </row>
    <row r="14" ht="12.75" customHeight="1"/>
    <row r="15" ht="12.75" customHeight="1"/>
    <row r="16" ht="12.75" customHeight="1"/>
    <row r="17" ht="12.75" customHeight="1"/>
    <row r="18" ht="18" customHeight="1"/>
    <row r="19" spans="2:7" ht="18" customHeight="1">
      <c r="B19" s="113" t="str">
        <f>CONCATENATE("Calculation of "&amp;'Terms of Use'!H1&amp;" TUoS Charges to:  ",F5)</f>
        <v>Calculation of 2019 TUoS Charges to:  LaTrobe</v>
      </c>
      <c r="C19" s="114"/>
      <c r="D19" s="140"/>
      <c r="E19" s="114"/>
      <c r="F19" s="114"/>
      <c r="G19" s="75"/>
    </row>
    <row r="20" ht="12.75" customHeight="1">
      <c r="B20" s="78"/>
    </row>
    <row r="21" ht="15.75">
      <c r="B21" s="145" t="s">
        <v>65</v>
      </c>
    </row>
    <row r="22" ht="18" customHeight="1">
      <c r="B22" s="78"/>
    </row>
    <row r="23" spans="3:5" ht="12.75" customHeight="1">
      <c r="C23" s="3" t="s">
        <v>44</v>
      </c>
      <c r="D23" s="143" t="s">
        <v>45</v>
      </c>
      <c r="E23" s="54">
        <v>270</v>
      </c>
    </row>
    <row r="24" spans="3:5" ht="12.75" customHeight="1">
      <c r="C24" s="3" t="s">
        <v>46</v>
      </c>
      <c r="D24" s="143" t="s">
        <v>47</v>
      </c>
      <c r="E24" s="55">
        <v>0.65</v>
      </c>
    </row>
    <row r="25" spans="3:5" ht="12.75" customHeight="1">
      <c r="C25" s="3" t="s">
        <v>48</v>
      </c>
      <c r="D25" s="143" t="s">
        <v>60</v>
      </c>
      <c r="E25" s="56">
        <f>E23/(E24*365.25)*1000</f>
        <v>1137.2610961933344</v>
      </c>
    </row>
    <row r="26" spans="3:6" ht="12.75" customHeight="1">
      <c r="C26" s="88" t="s">
        <v>66</v>
      </c>
      <c r="D26" s="143" t="s">
        <v>47</v>
      </c>
      <c r="E26" s="21">
        <v>0.94</v>
      </c>
      <c r="F26" s="22">
        <f>IF(F27="","",F27/(E25*10))</f>
      </c>
    </row>
    <row r="27" spans="3:7" ht="12.75" customHeight="1">
      <c r="C27" s="3" t="s">
        <v>51</v>
      </c>
      <c r="D27" s="143" t="s">
        <v>60</v>
      </c>
      <c r="E27" s="56">
        <f>E25*10*E26</f>
        <v>10690.254304217342</v>
      </c>
      <c r="F27" s="12"/>
      <c r="G27" s="88" t="s">
        <v>83</v>
      </c>
    </row>
    <row r="28" spans="4:5" ht="12.75" customHeight="1">
      <c r="D28" s="143"/>
      <c r="E28" s="124"/>
    </row>
    <row r="29" spans="2:9" ht="12.75" customHeight="1">
      <c r="B29" s="5"/>
      <c r="D29" s="143"/>
      <c r="E29" s="231" t="s">
        <v>67</v>
      </c>
      <c r="F29" s="232"/>
      <c r="G29" s="232"/>
      <c r="H29" s="232"/>
      <c r="I29" s="233"/>
    </row>
    <row r="30" spans="4:11" ht="12.75" customHeight="1">
      <c r="D30" s="143"/>
      <c r="E30" s="46" t="s">
        <v>68</v>
      </c>
      <c r="F30" s="46" t="s">
        <v>4</v>
      </c>
      <c r="G30" s="46" t="s">
        <v>69</v>
      </c>
      <c r="H30" s="46" t="s">
        <v>10</v>
      </c>
      <c r="I30" s="46" t="s">
        <v>5</v>
      </c>
      <c r="K30" s="46" t="s">
        <v>70</v>
      </c>
    </row>
    <row r="31" spans="5:11" ht="12.75" customHeight="1">
      <c r="E31" s="47">
        <v>101</v>
      </c>
      <c r="F31" s="47">
        <v>103</v>
      </c>
      <c r="G31" s="47">
        <v>104</v>
      </c>
      <c r="H31" s="47">
        <v>105</v>
      </c>
      <c r="I31" s="47">
        <v>107</v>
      </c>
      <c r="K31" s="57"/>
    </row>
    <row r="32" spans="3:15" ht="12.75" customHeight="1">
      <c r="C32" s="88" t="s">
        <v>71</v>
      </c>
      <c r="E32" s="58">
        <f aca="true" t="shared" si="0" ref="E32:I33">E10</f>
        <v>0.7</v>
      </c>
      <c r="F32" s="58">
        <f t="shared" si="0"/>
        <v>0.02</v>
      </c>
      <c r="G32" s="58">
        <f t="shared" si="0"/>
        <v>0.002</v>
      </c>
      <c r="H32" s="58">
        <f>H10</f>
        <v>0.178</v>
      </c>
      <c r="I32" s="58">
        <f t="shared" si="0"/>
        <v>0.1</v>
      </c>
      <c r="J32" s="117"/>
      <c r="K32" s="118"/>
      <c r="O32" s="116"/>
    </row>
    <row r="33" spans="3:15" ht="12.75" customHeight="1">
      <c r="C33" s="88" t="s">
        <v>72</v>
      </c>
      <c r="E33" s="58">
        <f t="shared" si="0"/>
        <v>0.68</v>
      </c>
      <c r="F33" s="58">
        <f t="shared" si="0"/>
        <v>0.03</v>
      </c>
      <c r="G33" s="58">
        <f t="shared" si="0"/>
        <v>0.01</v>
      </c>
      <c r="H33" s="58">
        <f>H11</f>
        <v>0.18</v>
      </c>
      <c r="I33" s="58">
        <f t="shared" si="0"/>
        <v>0.1</v>
      </c>
      <c r="J33" s="117"/>
      <c r="K33" s="118"/>
      <c r="O33" s="116"/>
    </row>
    <row r="34" spans="9:15" ht="12.75" customHeight="1">
      <c r="I34" s="119"/>
      <c r="J34" s="117"/>
      <c r="K34" s="118"/>
      <c r="O34" s="116"/>
    </row>
    <row r="35" spans="2:11" ht="12.75" customHeight="1">
      <c r="B35" s="123" t="s">
        <v>73</v>
      </c>
      <c r="D35" s="144"/>
      <c r="E35" s="78"/>
      <c r="F35" s="78"/>
      <c r="G35" s="78"/>
      <c r="H35" s="78"/>
      <c r="I35" s="119"/>
      <c r="K35" s="5"/>
    </row>
    <row r="36" spans="3:11" ht="6" customHeight="1">
      <c r="C36" s="78"/>
      <c r="D36" s="144"/>
      <c r="E36" s="78"/>
      <c r="F36" s="78"/>
      <c r="G36" s="78"/>
      <c r="H36" s="78"/>
      <c r="I36" s="78"/>
      <c r="K36" s="5"/>
    </row>
    <row r="37" spans="3:11" ht="12.75" customHeight="1">
      <c r="C37" s="3" t="str">
        <f>CONCATENATE("Withdrawal - ",$F$5)</f>
        <v>Withdrawal - LaTrobe</v>
      </c>
      <c r="D37" s="143" t="s">
        <v>60</v>
      </c>
      <c r="E37" s="59">
        <f>$E$23*1000*E$32</f>
        <v>189000</v>
      </c>
      <c r="F37" s="59">
        <f>$E$23*1000*F$32</f>
        <v>5400</v>
      </c>
      <c r="G37" s="59">
        <f>$E$23*1000*G$32</f>
        <v>540</v>
      </c>
      <c r="H37" s="59">
        <f>$E$23*1000*H$32</f>
        <v>48060</v>
      </c>
      <c r="I37" s="59">
        <f>$E$23*1000*I$32</f>
        <v>27000</v>
      </c>
      <c r="K37" s="60">
        <f>SUM(E37:I37)</f>
        <v>270000</v>
      </c>
    </row>
    <row r="38" spans="3:11" ht="12.75" customHeight="1">
      <c r="C38" s="3" t="s">
        <v>74</v>
      </c>
      <c r="D38" s="143" t="s">
        <v>60</v>
      </c>
      <c r="E38" s="59">
        <f>IF(OR($E$5=13,$E$5=9,$E$5=22,$E$5=21,$E$5=33,$E$5=24,$E$5=34),E37,0)</f>
        <v>0</v>
      </c>
      <c r="F38" s="59">
        <f>IF(OR($E$5=1,$E$5=2,$E$5=3,$E$5=13,$E$5=18,$E$5=9,$E$5=22,$E$5=21,$E$5=33,$E$5=24,$E$5=34),F37,0)</f>
        <v>5400</v>
      </c>
      <c r="G38" s="59">
        <v>0</v>
      </c>
      <c r="H38" s="59">
        <f>IF(OR($E$5=1,$E$5=2,$E$5=3,$E$5=18,$E$5=25),H37,0)</f>
        <v>48060</v>
      </c>
      <c r="I38" s="59">
        <f>IF(OR($E$5=13,$E$5=9,$E$5=22,$E$5=21,$E$5=24,$E$5=33,$E$5=34),I37,0)</f>
        <v>0</v>
      </c>
      <c r="K38" s="59">
        <f>SUM(E38:I38)</f>
        <v>53460</v>
      </c>
    </row>
    <row r="39" spans="3:11" ht="12.75" customHeight="1">
      <c r="C39" s="3" t="str">
        <f>IF(F27="","Injection","Injection  (over-ride)")</f>
        <v>Injection</v>
      </c>
      <c r="D39" s="143" t="s">
        <v>60</v>
      </c>
      <c r="E39" s="59">
        <f>IF($F$27="",$E$27*E$33,$F$27*E$33)</f>
        <v>7269.3729268677935</v>
      </c>
      <c r="F39" s="59">
        <f>IF($F$27="",$E$27*F$33,$F$27*F$33)</f>
        <v>320.70762912652026</v>
      </c>
      <c r="G39" s="59">
        <f>IF($F$27="",$E$27*G$33,$F$27*G$33)</f>
        <v>106.90254304217342</v>
      </c>
      <c r="H39" s="59">
        <f>IF($F$27="",$E$27*H$33,$F$27*H$33)</f>
        <v>1924.2457747591216</v>
      </c>
      <c r="I39" s="59">
        <f>IF($F$27="",$E$27*I$33,$F$27*I$33)</f>
        <v>1069.0254304217342</v>
      </c>
      <c r="K39" s="60">
        <f>SUM(E39:I39)</f>
        <v>10690.254304217342</v>
      </c>
    </row>
    <row r="40" spans="3:11" ht="12.75" customHeight="1">
      <c r="C40" s="78"/>
      <c r="D40" s="143"/>
      <c r="K40" s="125"/>
    </row>
    <row r="41" spans="2:11" ht="12.75" customHeight="1">
      <c r="B41" s="123" t="s">
        <v>75</v>
      </c>
      <c r="K41" s="125"/>
    </row>
    <row r="42" spans="3:11" ht="6" customHeight="1">
      <c r="C42" s="78"/>
      <c r="K42" s="125"/>
    </row>
    <row r="43" spans="3:11" ht="12.75" customHeight="1">
      <c r="C43" s="3" t="str">
        <f>CONCATENATE("Withdrawal - ",$F$5)</f>
        <v>Withdrawal - LaTrobe</v>
      </c>
      <c r="D43" s="143" t="s">
        <v>12</v>
      </c>
      <c r="E43" s="61">
        <f>VLOOKUP($E$5,'Approved Tariffs'!$B$13:$E$38,4,FALSE)</f>
        <v>0.1669</v>
      </c>
      <c r="F43" s="61">
        <f>$E$43</f>
        <v>0.1669</v>
      </c>
      <c r="G43" s="61">
        <f>$E$43</f>
        <v>0.1669</v>
      </c>
      <c r="H43" s="61">
        <f>IF($E$5=33,'Approved Tariffs'!$J$37,$E$43)</f>
        <v>0.1669</v>
      </c>
      <c r="I43" s="61">
        <f>IF($E$5=20,'Approved Tariffs'!$J$29,$E43)</f>
        <v>0.1669</v>
      </c>
      <c r="K43" s="125"/>
    </row>
    <row r="44" spans="3:11" ht="12.75" customHeight="1">
      <c r="C44" s="3" t="s">
        <v>74</v>
      </c>
      <c r="D44" s="143" t="s">
        <v>12</v>
      </c>
      <c r="E44" s="62" t="str">
        <f>IF(E38&gt;0,'Approved Tariffs'!$E$41,"n/a")</f>
        <v>n/a</v>
      </c>
      <c r="F44" s="62">
        <f>IF(F38&gt;0,'Approved Tariffs'!$E$41,"n/a")</f>
        <v>0</v>
      </c>
      <c r="G44" s="62" t="s">
        <v>29</v>
      </c>
      <c r="H44" s="62">
        <f>IF(H38&gt;0,'Approved Tariffs'!$E$41,"n/a")</f>
        <v>0</v>
      </c>
      <c r="I44" s="62" t="str">
        <f>IF(I38&gt;0,'Approved Tariffs'!$E$41,"n/a")</f>
        <v>n/a</v>
      </c>
      <c r="K44" s="125"/>
    </row>
    <row r="45" spans="3:11" ht="12.75" customHeight="1">
      <c r="C45" s="3" t="s">
        <v>76</v>
      </c>
      <c r="D45" s="143" t="s">
        <v>12</v>
      </c>
      <c r="E45" s="61">
        <f>VLOOKUP($E$5,'Approved Tariffs'!$B$13:$Q$38,13,FALSE)</f>
        <v>0.3858</v>
      </c>
      <c r="F45" s="61">
        <f>VLOOKUP($E$5,'Approved Tariffs'!$B$13:$Q$38,13,FALSE)</f>
        <v>0.3858</v>
      </c>
      <c r="G45" s="61">
        <f>VLOOKUP($E$5,'Approved Tariffs'!$B$13:$Q$38,13,FALSE)</f>
        <v>0.3858</v>
      </c>
      <c r="H45" s="61">
        <f>VLOOKUP($E$5,'Approved Tariffs'!$B$13:$Q$38,13,FALSE)</f>
        <v>0.3858</v>
      </c>
      <c r="I45" s="61">
        <f>VLOOKUP($E$5,'Approved Tariffs'!$B$13:$Q$38,13,FALSE)</f>
        <v>0.3858</v>
      </c>
      <c r="K45" s="125"/>
    </row>
    <row r="46" ht="12.75" customHeight="1">
      <c r="K46" s="125"/>
    </row>
    <row r="47" spans="2:11" ht="12.75" customHeight="1">
      <c r="B47" s="123" t="s">
        <v>77</v>
      </c>
      <c r="K47" s="125"/>
    </row>
    <row r="48" spans="3:11" ht="6" customHeight="1">
      <c r="C48" s="78"/>
      <c r="D48" s="143"/>
      <c r="K48" s="125"/>
    </row>
    <row r="49" spans="3:11" ht="12.75" customHeight="1">
      <c r="C49" s="3" t="str">
        <f>CONCATENATE("Withdrawal - ",$F$5)</f>
        <v>Withdrawal - LaTrobe</v>
      </c>
      <c r="D49" s="143" t="s">
        <v>78</v>
      </c>
      <c r="E49" s="63">
        <f>E37*E43</f>
        <v>31544.1</v>
      </c>
      <c r="F49" s="63">
        <f>F37*F43</f>
        <v>901.26</v>
      </c>
      <c r="G49" s="63">
        <f>G37*G43</f>
        <v>90.12599999999999</v>
      </c>
      <c r="H49" s="63">
        <f>H37*H43</f>
        <v>8021.214</v>
      </c>
      <c r="I49" s="63">
        <f>I37*I43</f>
        <v>4506.3</v>
      </c>
      <c r="K49" s="126">
        <f>SUM(E49:I49)</f>
        <v>45063</v>
      </c>
    </row>
    <row r="50" spans="3:11" ht="12.75" customHeight="1">
      <c r="C50" s="3" t="s">
        <v>74</v>
      </c>
      <c r="D50" s="143" t="s">
        <v>78</v>
      </c>
      <c r="E50" s="64" t="str">
        <f>IF(E44="n/a",E44,E38*E44)</f>
        <v>n/a</v>
      </c>
      <c r="F50" s="64">
        <f>IF(F44="n/a",F44,F38*F44)</f>
        <v>0</v>
      </c>
      <c r="G50" s="64" t="str">
        <f>IF(G44="n/a",G44,G38*G44)</f>
        <v>n/a</v>
      </c>
      <c r="H50" s="64">
        <f>IF(H44="n/a",H44,H38*H44)</f>
        <v>0</v>
      </c>
      <c r="I50" s="64" t="str">
        <f>IF(I44="n/a",I44,I38*I44)</f>
        <v>n/a</v>
      </c>
      <c r="K50" s="126">
        <f>SUM(E50:I50)</f>
        <v>0</v>
      </c>
    </row>
    <row r="51" spans="3:11" ht="12.75" customHeight="1">
      <c r="C51" s="3" t="s">
        <v>76</v>
      </c>
      <c r="D51" s="143" t="s">
        <v>78</v>
      </c>
      <c r="E51" s="63">
        <f>E39*E45</f>
        <v>2804.5240751855945</v>
      </c>
      <c r="F51" s="63">
        <f>F39*F45</f>
        <v>123.7290033170115</v>
      </c>
      <c r="G51" s="63">
        <f>G39*G45</f>
        <v>41.2430011056705</v>
      </c>
      <c r="H51" s="63">
        <f>H39*H45</f>
        <v>742.3740199020691</v>
      </c>
      <c r="I51" s="63">
        <f>I39*I45</f>
        <v>412.43001105670504</v>
      </c>
      <c r="K51" s="126">
        <f>SUM(E51:I51)</f>
        <v>4124.30011056705</v>
      </c>
    </row>
    <row r="52" spans="4:11" ht="6" customHeight="1">
      <c r="D52" s="143"/>
      <c r="E52" s="129"/>
      <c r="F52" s="129"/>
      <c r="G52" s="129"/>
      <c r="H52" s="129"/>
      <c r="I52" s="129"/>
      <c r="K52" s="125"/>
    </row>
    <row r="53" spans="3:11" ht="12.75" customHeight="1">
      <c r="C53" s="3" t="s">
        <v>79</v>
      </c>
      <c r="D53" s="143" t="s">
        <v>78</v>
      </c>
      <c r="E53" s="130">
        <f>SUM(E49:E51)</f>
        <v>34348.624075185595</v>
      </c>
      <c r="F53" s="130">
        <f>SUM(F49:F51)</f>
        <v>1024.9890033170116</v>
      </c>
      <c r="G53" s="130">
        <f>SUM(G49:G51)</f>
        <v>131.3690011056705</v>
      </c>
      <c r="H53" s="130">
        <f>SUM(H49:H51)</f>
        <v>8763.588019902068</v>
      </c>
      <c r="I53" s="130">
        <f>SUM(I49:I51)</f>
        <v>4918.730011056705</v>
      </c>
      <c r="K53" s="65">
        <f>SUM(K49:K51)</f>
        <v>49187.30011056705</v>
      </c>
    </row>
    <row r="54" ht="18" customHeight="1">
      <c r="K54" s="125"/>
    </row>
    <row r="55" spans="3:11" ht="12.75" customHeight="1" thickBot="1">
      <c r="C55" s="78" t="s">
        <v>80</v>
      </c>
      <c r="D55" s="143" t="s">
        <v>12</v>
      </c>
      <c r="E55" s="131">
        <f>E53/E37</f>
        <v>0.1817387517205587</v>
      </c>
      <c r="F55" s="131">
        <f>F53/F37</f>
        <v>0.18981277839203917</v>
      </c>
      <c r="G55" s="131">
        <f>G53/G37</f>
        <v>0.24327592797346387</v>
      </c>
      <c r="H55" s="131">
        <f>H53/H37</f>
        <v>0.18234681689350954</v>
      </c>
      <c r="I55" s="131">
        <f>I53/I37</f>
        <v>0.18217518559469278</v>
      </c>
      <c r="K55" s="127">
        <f>K53/K37</f>
        <v>0.18217518559469278</v>
      </c>
    </row>
    <row r="56" spans="4:11" ht="12.75" customHeight="1" thickTop="1">
      <c r="D56" s="142">
        <f>IF(OR(E5=32,E5=23),"Calculated tariff includes injection charge which is most unlikely to be applicable for refill.","")</f>
      </c>
      <c r="K56" s="128"/>
    </row>
    <row r="57" ht="12.75" customHeight="1"/>
    <row r="58" spans="2:5" ht="15.75">
      <c r="B58" s="145" t="s">
        <v>81</v>
      </c>
      <c r="C58" s="123"/>
      <c r="D58" s="146"/>
      <c r="E58" s="123"/>
    </row>
    <row r="59" spans="2:5" ht="18" customHeight="1">
      <c r="B59" s="78"/>
      <c r="E59" s="115"/>
    </row>
    <row r="60" spans="3:5" ht="12.75" customHeight="1">
      <c r="C60" s="3" t="s">
        <v>44</v>
      </c>
      <c r="D60" s="143" t="s">
        <v>60</v>
      </c>
      <c r="E60" s="54">
        <v>55</v>
      </c>
    </row>
    <row r="61" spans="3:5" ht="12.75" customHeight="1">
      <c r="C61" s="3" t="s">
        <v>46</v>
      </c>
      <c r="D61" s="143" t="s">
        <v>47</v>
      </c>
      <c r="E61" s="21">
        <v>0.3</v>
      </c>
    </row>
    <row r="62" spans="3:5" ht="12.75" customHeight="1">
      <c r="C62" s="3" t="s">
        <v>48</v>
      </c>
      <c r="D62" s="143" t="s">
        <v>60</v>
      </c>
      <c r="E62" s="66">
        <f>E60/(E61*365.25)</f>
        <v>0.5019393109742185</v>
      </c>
    </row>
    <row r="63" spans="3:6" ht="12.75" customHeight="1">
      <c r="C63" s="88" t="s">
        <v>66</v>
      </c>
      <c r="D63" s="143" t="s">
        <v>47</v>
      </c>
      <c r="E63" s="21">
        <v>0.9</v>
      </c>
      <c r="F63" s="22">
        <f>IF(F64="","",F64/(E62*10))</f>
      </c>
    </row>
    <row r="64" spans="3:7" ht="12.75" customHeight="1">
      <c r="C64" s="3" t="s">
        <v>51</v>
      </c>
      <c r="D64" s="143" t="s">
        <v>60</v>
      </c>
      <c r="E64" s="67">
        <f>E62*10*E63</f>
        <v>4.517453798767967</v>
      </c>
      <c r="F64" s="12"/>
      <c r="G64" s="88" t="s">
        <v>83</v>
      </c>
    </row>
    <row r="65" ht="12.75" customHeight="1"/>
    <row r="66" spans="4:9" ht="12.75" customHeight="1">
      <c r="D66" s="143"/>
      <c r="E66" s="231" t="s">
        <v>67</v>
      </c>
      <c r="F66" s="232"/>
      <c r="G66" s="232"/>
      <c r="H66" s="232"/>
      <c r="I66" s="233"/>
    </row>
    <row r="67" spans="4:11" ht="12.75" customHeight="1">
      <c r="D67" s="143"/>
      <c r="E67" s="46" t="s">
        <v>68</v>
      </c>
      <c r="F67" s="46" t="s">
        <v>4</v>
      </c>
      <c r="G67" s="46" t="s">
        <v>69</v>
      </c>
      <c r="H67" s="46" t="s">
        <v>10</v>
      </c>
      <c r="I67" s="46" t="s">
        <v>5</v>
      </c>
      <c r="K67" s="46" t="s">
        <v>70</v>
      </c>
    </row>
    <row r="68" spans="5:11" ht="12.75" customHeight="1">
      <c r="E68" s="47">
        <v>101</v>
      </c>
      <c r="F68" s="47">
        <v>103</v>
      </c>
      <c r="G68" s="47">
        <v>104</v>
      </c>
      <c r="H68" s="47">
        <v>105</v>
      </c>
      <c r="I68" s="47">
        <v>107</v>
      </c>
      <c r="K68" s="57"/>
    </row>
    <row r="69" spans="3:15" ht="12.75" customHeight="1">
      <c r="C69" s="88" t="s">
        <v>71</v>
      </c>
      <c r="E69" s="58">
        <f>E32</f>
        <v>0.7</v>
      </c>
      <c r="F69" s="58">
        <f aca="true" t="shared" si="1" ref="F69:I70">F32</f>
        <v>0.02</v>
      </c>
      <c r="G69" s="58">
        <f t="shared" si="1"/>
        <v>0.002</v>
      </c>
      <c r="H69" s="58">
        <f>H32</f>
        <v>0.178</v>
      </c>
      <c r="I69" s="58">
        <f t="shared" si="1"/>
        <v>0.1</v>
      </c>
      <c r="J69" s="117" t="str">
        <f>IF(1-SUM(E69:I69)&gt;0,"+",IF(1-SUM(E69:I69)&lt;0,"-",""))</f>
        <v>+</v>
      </c>
      <c r="K69" s="118"/>
      <c r="O69" s="116"/>
    </row>
    <row r="70" spans="3:15" ht="12.75" customHeight="1">
      <c r="C70" s="88" t="s">
        <v>72</v>
      </c>
      <c r="E70" s="58">
        <f>E33</f>
        <v>0.68</v>
      </c>
      <c r="F70" s="58">
        <f t="shared" si="1"/>
        <v>0.03</v>
      </c>
      <c r="G70" s="58">
        <f t="shared" si="1"/>
        <v>0.01</v>
      </c>
      <c r="H70" s="58">
        <f>H33</f>
        <v>0.18</v>
      </c>
      <c r="I70" s="58">
        <f t="shared" si="1"/>
        <v>0.1</v>
      </c>
      <c r="J70" s="117" t="str">
        <f>IF(1-SUM(E70:I70)&gt;0,"+",IF(1-SUM(E70:I70)&lt;0,"-",""))</f>
        <v>-</v>
      </c>
      <c r="K70" s="118"/>
      <c r="O70" s="116"/>
    </row>
    <row r="71" ht="12.75" customHeight="1">
      <c r="I71" s="132"/>
    </row>
    <row r="72" spans="2:11" ht="12.75" customHeight="1">
      <c r="B72" s="123" t="s">
        <v>73</v>
      </c>
      <c r="D72" s="144"/>
      <c r="E72" s="78"/>
      <c r="F72" s="78"/>
      <c r="G72" s="78"/>
      <c r="H72" s="78"/>
      <c r="I72" s="78"/>
      <c r="K72" s="5"/>
    </row>
    <row r="73" spans="3:11" ht="6" customHeight="1">
      <c r="C73" s="78"/>
      <c r="D73" s="144"/>
      <c r="E73" s="78"/>
      <c r="F73" s="78"/>
      <c r="G73" s="78"/>
      <c r="H73" s="78"/>
      <c r="I73" s="78"/>
      <c r="K73" s="5"/>
    </row>
    <row r="74" spans="3:11" ht="12.75" customHeight="1">
      <c r="C74" s="3" t="str">
        <f>CONCATENATE("Withdrawal - ",$F$5)</f>
        <v>Withdrawal - LaTrobe</v>
      </c>
      <c r="D74" s="143" t="s">
        <v>60</v>
      </c>
      <c r="E74" s="68">
        <f>$E$60*E$32</f>
        <v>38.5</v>
      </c>
      <c r="F74" s="68">
        <f>$E$60*F$32</f>
        <v>1.1</v>
      </c>
      <c r="G74" s="68">
        <f>$E$60*G$32</f>
        <v>0.11</v>
      </c>
      <c r="H74" s="68">
        <f>$E$60*H$32</f>
        <v>9.79</v>
      </c>
      <c r="I74" s="68">
        <f>$E$60*I$32</f>
        <v>5.5</v>
      </c>
      <c r="J74" s="121"/>
      <c r="K74" s="69">
        <f>SUM(E74:I74)</f>
        <v>55</v>
      </c>
    </row>
    <row r="75" spans="3:11" ht="12.75" customHeight="1">
      <c r="C75" s="3" t="s">
        <v>74</v>
      </c>
      <c r="D75" s="143" t="s">
        <v>60</v>
      </c>
      <c r="E75" s="59">
        <f>IF(OR($E$5=13,$E$5=9,$E$5=22,$E$5=21,$E$5=33,$E$5=24,$E$5=34),E74,0)</f>
        <v>0</v>
      </c>
      <c r="F75" s="59">
        <f>IF(OR($E$5=1,$E$5=2,$E$5=3,$E$5=13,$E$5=18,$E$5=9,$E$5=22,$E$5=21,$E$5=33,$E$5=24,$E$5=34),F74,0)</f>
        <v>1.1</v>
      </c>
      <c r="G75" s="59">
        <v>0</v>
      </c>
      <c r="H75" s="59">
        <f>IF(OR($E$5=1,$E$5=2,$E$5=3,$E$5=18,$E$5=25),H74,0)</f>
        <v>9.79</v>
      </c>
      <c r="I75" s="59">
        <f>IF(OR($E$5=13,$E$5=9,$E$5=22,$E$5=21,$E$5=24,$E$5=33,$E$5=34),I74,0)</f>
        <v>0</v>
      </c>
      <c r="J75" s="121"/>
      <c r="K75" s="68">
        <f>SUM(E75:I75)</f>
        <v>10.889999999999999</v>
      </c>
    </row>
    <row r="76" spans="3:11" ht="12.75" customHeight="1">
      <c r="C76" s="3" t="str">
        <f>IF(F64="","Injection","Injection  (over-ride)")</f>
        <v>Injection</v>
      </c>
      <c r="D76" s="143" t="s">
        <v>60</v>
      </c>
      <c r="E76" s="68">
        <f>IF($F$64="",$E$64*E$33,$F$64*E$33)</f>
        <v>3.071868583162218</v>
      </c>
      <c r="F76" s="68">
        <f>IF($F$64="",$E$64*F$33,$F$64*F$33)</f>
        <v>0.135523613963039</v>
      </c>
      <c r="G76" s="68">
        <f>IF($F$64="",$E$64*G$33,$F$64*G$33)</f>
        <v>0.04517453798767967</v>
      </c>
      <c r="H76" s="68">
        <f>IF($F$64="",$E$64*H$33,$F$64*H$33)</f>
        <v>0.813141683778234</v>
      </c>
      <c r="I76" s="68">
        <f>IF($F$64="",$E$64*I$33,$F$64*I$33)</f>
        <v>0.45174537987679675</v>
      </c>
      <c r="J76" s="121"/>
      <c r="K76" s="69">
        <f>SUM(E76:I76)</f>
        <v>4.517453798767967</v>
      </c>
    </row>
    <row r="77" spans="3:11" ht="12.75" customHeight="1">
      <c r="C77" s="78"/>
      <c r="D77" s="143"/>
      <c r="K77" s="125"/>
    </row>
    <row r="78" spans="2:11" ht="12.75" customHeight="1">
      <c r="B78" s="123" t="s">
        <v>75</v>
      </c>
      <c r="K78" s="125"/>
    </row>
    <row r="79" spans="3:11" ht="6" customHeight="1">
      <c r="C79" s="78"/>
      <c r="K79" s="125"/>
    </row>
    <row r="80" spans="3:11" ht="12.75" customHeight="1">
      <c r="C80" s="3" t="str">
        <f>CONCATENATE("Withdrawal - ",$F$5)</f>
        <v>Withdrawal - LaTrobe</v>
      </c>
      <c r="D80" s="143" t="s">
        <v>12</v>
      </c>
      <c r="E80" s="61">
        <f>VLOOKUP($E$5,'Approved Tariffs'!$B$13:$F$38,5,FALSE)</f>
        <v>0.1658</v>
      </c>
      <c r="F80" s="61">
        <f>$E80</f>
        <v>0.1658</v>
      </c>
      <c r="G80" s="61">
        <f>$E80</f>
        <v>0.1658</v>
      </c>
      <c r="H80" s="61">
        <f>$E80</f>
        <v>0.1658</v>
      </c>
      <c r="I80" s="61">
        <f>IF($E$5=20,'Approved Tariffs'!$K$29,$E80)</f>
        <v>0.1658</v>
      </c>
      <c r="K80" s="125"/>
    </row>
    <row r="81" spans="3:11" ht="12.75" customHeight="1">
      <c r="C81" s="3" t="s">
        <v>74</v>
      </c>
      <c r="D81" s="143" t="s">
        <v>12</v>
      </c>
      <c r="E81" s="62" t="str">
        <f>IF(E75&gt;0,'Approved Tariffs'!$F$40,"n/a")</f>
        <v>n/a</v>
      </c>
      <c r="F81" s="62">
        <f>IF(F75&gt;0,'Approved Tariffs'!$F$40,"n/a")</f>
        <v>0.2046</v>
      </c>
      <c r="G81" s="62" t="s">
        <v>29</v>
      </c>
      <c r="H81" s="62">
        <f>IF(H75&gt;0,'Approved Tariffs'!$F$40,"n/a")</f>
        <v>0.2046</v>
      </c>
      <c r="I81" s="62" t="str">
        <f>IF(I75&gt;0,'Approved Tariffs'!$F$40,"n/a")</f>
        <v>n/a</v>
      </c>
      <c r="K81" s="125"/>
    </row>
    <row r="82" spans="3:11" ht="12.75" customHeight="1">
      <c r="C82" s="3" t="s">
        <v>76</v>
      </c>
      <c r="D82" s="143" t="s">
        <v>12</v>
      </c>
      <c r="E82" s="61">
        <f>VLOOKUP($E$5,'Approved Tariffs'!$B$13:$Q$38,13,FALSE)</f>
        <v>0.3858</v>
      </c>
      <c r="F82" s="61">
        <f>VLOOKUP($E$5,'Approved Tariffs'!$B$13:$Q$38,13,FALSE)</f>
        <v>0.3858</v>
      </c>
      <c r="G82" s="61">
        <f>VLOOKUP($E$5,'Approved Tariffs'!$B$13:$Q$38,13,FALSE)</f>
        <v>0.3858</v>
      </c>
      <c r="H82" s="61">
        <f>VLOOKUP($E$5,'Approved Tariffs'!$B$13:$Q$38,13,FALSE)</f>
        <v>0.3858</v>
      </c>
      <c r="I82" s="61">
        <f>VLOOKUP($E$5,'Approved Tariffs'!$B$13:$Q$38,13,FALSE)</f>
        <v>0.3858</v>
      </c>
      <c r="K82" s="125"/>
    </row>
    <row r="83" ht="12.75" customHeight="1">
      <c r="K83" s="125"/>
    </row>
    <row r="84" spans="2:11" ht="12.75" customHeight="1">
      <c r="B84" s="123" t="s">
        <v>77</v>
      </c>
      <c r="K84" s="125"/>
    </row>
    <row r="85" spans="3:11" ht="6" customHeight="1">
      <c r="C85" s="78"/>
      <c r="D85" s="143"/>
      <c r="K85" s="125"/>
    </row>
    <row r="86" spans="3:11" ht="12.75" customHeight="1">
      <c r="C86" s="3" t="str">
        <f>CONCATENATE("Withdrawal - ",$F$5)</f>
        <v>Withdrawal - LaTrobe</v>
      </c>
      <c r="D86" s="143" t="s">
        <v>78</v>
      </c>
      <c r="E86" s="70">
        <f>E74*E80</f>
        <v>6.3833</v>
      </c>
      <c r="F86" s="70">
        <f>F74*F80</f>
        <v>0.18238000000000001</v>
      </c>
      <c r="G86" s="70">
        <f>G74*G80</f>
        <v>0.018238</v>
      </c>
      <c r="H86" s="70">
        <f>H74*H80</f>
        <v>1.623182</v>
      </c>
      <c r="I86" s="70">
        <f>I74*I80</f>
        <v>0.9119</v>
      </c>
      <c r="J86" s="122"/>
      <c r="K86" s="136">
        <f>SUM(E86:I86)</f>
        <v>9.119</v>
      </c>
    </row>
    <row r="87" spans="3:11" ht="12.75" customHeight="1">
      <c r="C87" s="3" t="s">
        <v>74</v>
      </c>
      <c r="D87" s="143" t="s">
        <v>78</v>
      </c>
      <c r="E87" s="71" t="str">
        <f>IF(E81="n/a",E81,E75*E81)</f>
        <v>n/a</v>
      </c>
      <c r="F87" s="71">
        <f>IF(F81="n/a",F81,F75*F81)</f>
        <v>0.22506</v>
      </c>
      <c r="G87" s="71" t="str">
        <f>IF(G81="n/a",G81,G75*G81)</f>
        <v>n/a</v>
      </c>
      <c r="H87" s="71">
        <f>IF(H81="n/a",H81,H75*H81)</f>
        <v>2.003034</v>
      </c>
      <c r="I87" s="71" t="str">
        <f>IF(I81="n/a",I81,I75*I81)</f>
        <v>n/a</v>
      </c>
      <c r="J87" s="122"/>
      <c r="K87" s="136">
        <f>SUM(E87:I87)</f>
        <v>2.228094</v>
      </c>
    </row>
    <row r="88" spans="3:11" ht="12.75" customHeight="1">
      <c r="C88" s="3" t="s">
        <v>76</v>
      </c>
      <c r="D88" s="143" t="s">
        <v>78</v>
      </c>
      <c r="E88" s="70">
        <f>E76*E82</f>
        <v>1.1851268993839836</v>
      </c>
      <c r="F88" s="70">
        <f>F76*F82</f>
        <v>0.05228501026694044</v>
      </c>
      <c r="G88" s="70">
        <f>G76*G82</f>
        <v>0.017428336755646815</v>
      </c>
      <c r="H88" s="70">
        <f>H76*H82</f>
        <v>0.31371006160164266</v>
      </c>
      <c r="I88" s="70">
        <f>I76*I82</f>
        <v>0.17428336755646817</v>
      </c>
      <c r="J88" s="122"/>
      <c r="K88" s="136">
        <f>SUM(E88:I88)</f>
        <v>1.7428336755646818</v>
      </c>
    </row>
    <row r="89" spans="4:11" ht="6" customHeight="1">
      <c r="D89" s="143"/>
      <c r="E89" s="133"/>
      <c r="F89" s="133"/>
      <c r="G89" s="133"/>
      <c r="H89" s="133"/>
      <c r="I89" s="133"/>
      <c r="J89" s="122"/>
      <c r="K89" s="137"/>
    </row>
    <row r="90" spans="3:11" ht="12.75" customHeight="1">
      <c r="C90" s="3" t="s">
        <v>79</v>
      </c>
      <c r="D90" s="143" t="s">
        <v>78</v>
      </c>
      <c r="E90" s="134">
        <f>SUM(E86:E88)</f>
        <v>7.568426899383984</v>
      </c>
      <c r="F90" s="134">
        <f>SUM(F86:F88)</f>
        <v>0.45972501026694046</v>
      </c>
      <c r="G90" s="134">
        <f>SUM(G86:G88)</f>
        <v>0.035666336755646816</v>
      </c>
      <c r="H90" s="134">
        <f>SUM(H86:H88)</f>
        <v>3.9399260616016427</v>
      </c>
      <c r="I90" s="134">
        <f>SUM(I86:I88)</f>
        <v>1.0861833675564683</v>
      </c>
      <c r="J90" s="122"/>
      <c r="K90" s="72">
        <f>SUM(K86:K88)</f>
        <v>13.089927675564683</v>
      </c>
    </row>
    <row r="91" ht="18" customHeight="1">
      <c r="K91" s="125"/>
    </row>
    <row r="92" spans="3:11" ht="12.75" customHeight="1">
      <c r="C92" s="78" t="s">
        <v>80</v>
      </c>
      <c r="D92" s="143" t="s">
        <v>12</v>
      </c>
      <c r="E92" s="135">
        <f>E90/E74</f>
        <v>0.19658251686711647</v>
      </c>
      <c r="F92" s="135">
        <f>F90/F74</f>
        <v>0.41793182751540037</v>
      </c>
      <c r="G92" s="135">
        <f>G90/G74</f>
        <v>0.3242394250513347</v>
      </c>
      <c r="H92" s="135">
        <f>H90/H74</f>
        <v>0.40244392866206774</v>
      </c>
      <c r="I92" s="135">
        <f>I90/I74</f>
        <v>0.19748788501026696</v>
      </c>
      <c r="K92" s="138">
        <f>K90/K74</f>
        <v>0.23799868501026697</v>
      </c>
    </row>
    <row r="93" ht="12.75" customHeight="1"/>
    <row r="94" ht="12.75" customHeight="1"/>
    <row r="95" spans="2:5" ht="15.75">
      <c r="B95" s="145" t="s">
        <v>82</v>
      </c>
      <c r="C95" s="123"/>
      <c r="D95" s="146"/>
      <c r="E95" s="123"/>
    </row>
    <row r="96" spans="2:5" ht="18" customHeight="1">
      <c r="B96" s="78"/>
      <c r="E96" s="115"/>
    </row>
    <row r="97" spans="3:5" ht="12.75" customHeight="1">
      <c r="C97" s="3" t="s">
        <v>44</v>
      </c>
      <c r="D97" s="143" t="s">
        <v>60</v>
      </c>
      <c r="E97" s="54">
        <v>5000</v>
      </c>
    </row>
    <row r="98" spans="3:5" ht="12.75" customHeight="1">
      <c r="C98" s="3" t="s">
        <v>46</v>
      </c>
      <c r="D98" s="143" t="s">
        <v>47</v>
      </c>
      <c r="E98" s="21">
        <v>0.5</v>
      </c>
    </row>
    <row r="99" spans="3:5" ht="12.75" customHeight="1">
      <c r="C99" s="3" t="s">
        <v>48</v>
      </c>
      <c r="D99" s="143" t="s">
        <v>60</v>
      </c>
      <c r="E99" s="66">
        <f>E97/(E98*365.25)</f>
        <v>27.378507871321013</v>
      </c>
    </row>
    <row r="100" spans="3:6" ht="12.75" customHeight="1">
      <c r="C100" s="88" t="s">
        <v>66</v>
      </c>
      <c r="D100" s="143" t="s">
        <v>47</v>
      </c>
      <c r="E100" s="21">
        <v>0.9</v>
      </c>
      <c r="F100" s="22">
        <f>IF(F101="","",F101/(E99*10))</f>
      </c>
    </row>
    <row r="101" spans="3:7" ht="12.75" customHeight="1">
      <c r="C101" s="3" t="s">
        <v>51</v>
      </c>
      <c r="D101" s="143" t="s">
        <v>60</v>
      </c>
      <c r="E101" s="67">
        <f>E99*10*E100</f>
        <v>246.4065708418891</v>
      </c>
      <c r="F101" s="12"/>
      <c r="G101" s="88" t="s">
        <v>83</v>
      </c>
    </row>
    <row r="102" ht="12.75" customHeight="1">
      <c r="D102" s="143"/>
    </row>
    <row r="103" spans="2:9" ht="12.75" customHeight="1">
      <c r="B103" s="78"/>
      <c r="D103" s="143"/>
      <c r="E103" s="231" t="s">
        <v>67</v>
      </c>
      <c r="F103" s="232"/>
      <c r="G103" s="232"/>
      <c r="H103" s="232"/>
      <c r="I103" s="233"/>
    </row>
    <row r="104" spans="4:11" ht="12.75" customHeight="1">
      <c r="D104" s="143"/>
      <c r="E104" s="46" t="s">
        <v>68</v>
      </c>
      <c r="F104" s="46" t="s">
        <v>4</v>
      </c>
      <c r="G104" s="46" t="s">
        <v>69</v>
      </c>
      <c r="H104" s="46" t="s">
        <v>10</v>
      </c>
      <c r="I104" s="46" t="s">
        <v>5</v>
      </c>
      <c r="K104" s="46" t="s">
        <v>70</v>
      </c>
    </row>
    <row r="105" spans="5:11" ht="12.75" customHeight="1">
      <c r="E105" s="47">
        <v>101</v>
      </c>
      <c r="F105" s="47">
        <v>103</v>
      </c>
      <c r="G105" s="47">
        <v>104</v>
      </c>
      <c r="H105" s="47">
        <v>105</v>
      </c>
      <c r="I105" s="47">
        <v>107</v>
      </c>
      <c r="K105" s="57"/>
    </row>
    <row r="106" spans="3:15" ht="12.75" customHeight="1">
      <c r="C106" s="88" t="s">
        <v>71</v>
      </c>
      <c r="E106" s="58">
        <f aca="true" t="shared" si="2" ref="E106:I107">E69</f>
        <v>0.7</v>
      </c>
      <c r="F106" s="58">
        <f t="shared" si="2"/>
        <v>0.02</v>
      </c>
      <c r="G106" s="58">
        <f t="shared" si="2"/>
        <v>0.002</v>
      </c>
      <c r="H106" s="58">
        <f>H69</f>
        <v>0.178</v>
      </c>
      <c r="I106" s="58">
        <f t="shared" si="2"/>
        <v>0.1</v>
      </c>
      <c r="J106" s="117" t="str">
        <f>IF(1-SUM(E106:I106)&gt;0,"+",IF(1-SUM(E106:I106)&lt;0,"-",""))</f>
        <v>+</v>
      </c>
      <c r="K106" s="118"/>
      <c r="O106" s="116"/>
    </row>
    <row r="107" spans="3:15" ht="12.75" customHeight="1">
      <c r="C107" s="88" t="s">
        <v>72</v>
      </c>
      <c r="E107" s="58">
        <f t="shared" si="2"/>
        <v>0.68</v>
      </c>
      <c r="F107" s="58">
        <f t="shared" si="2"/>
        <v>0.03</v>
      </c>
      <c r="G107" s="58">
        <f t="shared" si="2"/>
        <v>0.01</v>
      </c>
      <c r="H107" s="58">
        <f>H70</f>
        <v>0.18</v>
      </c>
      <c r="I107" s="58">
        <f t="shared" si="2"/>
        <v>0.1</v>
      </c>
      <c r="J107" s="117" t="str">
        <f>IF(1-SUM(E107:I107)&gt;0,"+",IF(1-SUM(E107:I107)&lt;0,"-",""))</f>
        <v>-</v>
      </c>
      <c r="K107" s="118"/>
      <c r="O107" s="116"/>
    </row>
    <row r="108" ht="12.75" customHeight="1">
      <c r="I108" s="132"/>
    </row>
    <row r="109" spans="2:11" ht="12.75" customHeight="1">
      <c r="B109" s="123" t="s">
        <v>73</v>
      </c>
      <c r="D109" s="144"/>
      <c r="E109" s="78"/>
      <c r="F109" s="78"/>
      <c r="G109" s="78"/>
      <c r="H109" s="78"/>
      <c r="I109" s="78"/>
      <c r="K109" s="5"/>
    </row>
    <row r="110" spans="3:11" ht="6" customHeight="1">
      <c r="C110" s="78"/>
      <c r="D110" s="144"/>
      <c r="E110" s="78"/>
      <c r="F110" s="78"/>
      <c r="G110" s="78"/>
      <c r="H110" s="78"/>
      <c r="I110" s="78"/>
      <c r="K110" s="5"/>
    </row>
    <row r="111" spans="3:11" ht="12.75" customHeight="1">
      <c r="C111" s="3" t="str">
        <f>CONCATENATE("Withdrawal - ",$F$5)</f>
        <v>Withdrawal - LaTrobe</v>
      </c>
      <c r="D111" s="143" t="s">
        <v>60</v>
      </c>
      <c r="E111" s="68">
        <f>$E$97*E$32</f>
        <v>3500</v>
      </c>
      <c r="F111" s="68">
        <f>$E$97*F$32</f>
        <v>100</v>
      </c>
      <c r="G111" s="68">
        <f>$E$97*G$32</f>
        <v>10</v>
      </c>
      <c r="H111" s="68">
        <f>$E$97*H$32</f>
        <v>890</v>
      </c>
      <c r="I111" s="68">
        <f>$E$97*I$32</f>
        <v>500</v>
      </c>
      <c r="J111" s="121"/>
      <c r="K111" s="69">
        <f>SUM(E111:I111)</f>
        <v>5000</v>
      </c>
    </row>
    <row r="112" spans="3:11" ht="12.75" customHeight="1">
      <c r="C112" s="3" t="s">
        <v>74</v>
      </c>
      <c r="D112" s="143" t="s">
        <v>60</v>
      </c>
      <c r="E112" s="68">
        <f>IF(OR($E$5=13,$E$5=9,$E$5=22,$E$5=21,$E$5=24),E111,0)</f>
        <v>0</v>
      </c>
      <c r="F112" s="68">
        <f>IF(OR($E$5=1,$E$5=2,$E$5=3,$E$5=9,$E$5=13,$E$5=18,$E$5=22,$E$5=21,$E$5=24),F111,0)</f>
        <v>100</v>
      </c>
      <c r="G112" s="68">
        <v>0</v>
      </c>
      <c r="H112" s="68">
        <f>IF(OR($E$5=1,$E$5=2,$E$5=3,$E$5=9,$E$5=13,$E$5=18,$E$5=22,$E$5=21,$E$5=24),H111,0)</f>
        <v>890</v>
      </c>
      <c r="I112" s="68">
        <f>IF(OR($E$5=1,$E$5=2,$E$5=3,$E$5=9,$E$5=13,$E$5=18,$E$5=22,$E$5=21,$E$5=24),I111,0)</f>
        <v>500</v>
      </c>
      <c r="J112" s="121"/>
      <c r="K112" s="68">
        <f>SUM(E112:I112)</f>
        <v>1490</v>
      </c>
    </row>
    <row r="113" spans="3:11" ht="12.75" customHeight="1">
      <c r="C113" s="3" t="str">
        <f>IF(F101="","Injection","Injection  (over-ride)")</f>
        <v>Injection</v>
      </c>
      <c r="D113" s="143" t="s">
        <v>60</v>
      </c>
      <c r="E113" s="68">
        <f>IF($F$101="",$E$101*E$33,$F$101*E$33)</f>
        <v>167.5564681724846</v>
      </c>
      <c r="F113" s="68">
        <f>IF($F$101="",$E$101*F$33,$F$101*F$33)</f>
        <v>7.392197125256673</v>
      </c>
      <c r="G113" s="68">
        <f>IF($F$101="",$E$101*G$33,$F$101*G$33)</f>
        <v>2.4640657084188913</v>
      </c>
      <c r="H113" s="68">
        <f>IF($F$101="",$E$101*H$33,$F$101*H$33)</f>
        <v>44.35318275154004</v>
      </c>
      <c r="I113" s="68">
        <f>IF($F$101="",$E$101*I$33,$F$101*I$33)</f>
        <v>24.640657084188913</v>
      </c>
      <c r="J113" s="121"/>
      <c r="K113" s="69">
        <f>SUM(E113:I113)</f>
        <v>246.40657084188913</v>
      </c>
    </row>
    <row r="114" spans="3:11" ht="12.75" customHeight="1">
      <c r="C114" s="78"/>
      <c r="D114" s="143"/>
      <c r="K114" s="125"/>
    </row>
    <row r="115" spans="2:11" ht="12.75" customHeight="1">
      <c r="B115" s="123" t="s">
        <v>75</v>
      </c>
      <c r="K115" s="125"/>
    </row>
    <row r="116" spans="3:11" ht="6" customHeight="1">
      <c r="C116" s="78"/>
      <c r="K116" s="125"/>
    </row>
    <row r="117" spans="3:11" ht="12.75" customHeight="1">
      <c r="C117" s="3" t="str">
        <f>CONCATENATE("Withdrawal - ",$F$5)</f>
        <v>Withdrawal - LaTrobe</v>
      </c>
      <c r="D117" s="143" t="s">
        <v>12</v>
      </c>
      <c r="E117" s="61">
        <f>VLOOKUP($E$5,'Approved Tariffs'!$B$13:$F$38,5,FALSE)</f>
        <v>0.1658</v>
      </c>
      <c r="F117" s="61">
        <f>$E117</f>
        <v>0.1658</v>
      </c>
      <c r="G117" s="61">
        <f>$E117</f>
        <v>0.1658</v>
      </c>
      <c r="H117" s="61">
        <f>$E117</f>
        <v>0.1658</v>
      </c>
      <c r="I117" s="61">
        <f>$E117</f>
        <v>0.1658</v>
      </c>
      <c r="K117" s="125"/>
    </row>
    <row r="118" spans="3:11" ht="12.75" customHeight="1">
      <c r="C118" s="3" t="s">
        <v>74</v>
      </c>
      <c r="D118" s="143" t="s">
        <v>12</v>
      </c>
      <c r="E118" s="62" t="str">
        <f>IF(E112&gt;0,'Approved Tariffs'!$F$40,"n/a")</f>
        <v>n/a</v>
      </c>
      <c r="F118" s="62">
        <f>IF(F112&gt;0,'Approved Tariffs'!$F$40,"n/a")</f>
        <v>0.2046</v>
      </c>
      <c r="G118" s="62" t="s">
        <v>29</v>
      </c>
      <c r="H118" s="62">
        <f>IF(H112&gt;0,'Approved Tariffs'!$F$40,"n/a")</f>
        <v>0.2046</v>
      </c>
      <c r="I118" s="62">
        <f>IF(I112&gt;0,'Approved Tariffs'!$F$40,"n/a")</f>
        <v>0.2046</v>
      </c>
      <c r="K118" s="125"/>
    </row>
    <row r="119" spans="3:11" ht="12.75" customHeight="1">
      <c r="C119" s="3" t="s">
        <v>76</v>
      </c>
      <c r="D119" s="143" t="s">
        <v>12</v>
      </c>
      <c r="E119" s="61">
        <f>VLOOKUP($E$5,'Approved Tariffs'!$B$13:$Q$38,13,FALSE)</f>
        <v>0.3858</v>
      </c>
      <c r="F119" s="61">
        <f>VLOOKUP($E$5,'Approved Tariffs'!$B$13:$Q$38,13,FALSE)</f>
        <v>0.3858</v>
      </c>
      <c r="G119" s="61">
        <f>VLOOKUP($E$5,'Approved Tariffs'!$B$13:$Q$38,13,FALSE)</f>
        <v>0.3858</v>
      </c>
      <c r="H119" s="61">
        <f>VLOOKUP($E$5,'Approved Tariffs'!$B$13:$Q$38,13,FALSE)</f>
        <v>0.3858</v>
      </c>
      <c r="I119" s="61">
        <f>VLOOKUP($E$5,'Approved Tariffs'!$B$13:$Q$38,13,FALSE)</f>
        <v>0.3858</v>
      </c>
      <c r="K119" s="125"/>
    </row>
    <row r="120" ht="12.75" customHeight="1">
      <c r="K120" s="125"/>
    </row>
    <row r="121" spans="2:11" ht="12.75" customHeight="1">
      <c r="B121" s="123" t="s">
        <v>77</v>
      </c>
      <c r="K121" s="125"/>
    </row>
    <row r="122" spans="3:11" ht="6" customHeight="1">
      <c r="C122" s="78"/>
      <c r="D122" s="143"/>
      <c r="K122" s="125"/>
    </row>
    <row r="123" spans="3:11" ht="12.75" customHeight="1">
      <c r="C123" s="3" t="str">
        <f>CONCATENATE("Withdrawal - ",$F$5)</f>
        <v>Withdrawal - LaTrobe</v>
      </c>
      <c r="D123" s="143" t="s">
        <v>78</v>
      </c>
      <c r="E123" s="70">
        <f>E111*E117</f>
        <v>580.3</v>
      </c>
      <c r="F123" s="70">
        <f>F111*F117</f>
        <v>16.580000000000002</v>
      </c>
      <c r="G123" s="70">
        <f>G111*G117</f>
        <v>1.658</v>
      </c>
      <c r="H123" s="70">
        <f>H111*H117</f>
        <v>147.562</v>
      </c>
      <c r="I123" s="70">
        <f>I111*I117</f>
        <v>82.9</v>
      </c>
      <c r="J123" s="122"/>
      <c r="K123" s="136">
        <f>SUM(E123:I123)</f>
        <v>829</v>
      </c>
    </row>
    <row r="124" spans="3:11" ht="12.75" customHeight="1">
      <c r="C124" s="3" t="s">
        <v>74</v>
      </c>
      <c r="D124" s="143" t="s">
        <v>78</v>
      </c>
      <c r="E124" s="71" t="str">
        <f>IF(E118="n/a",E118,E112*E118)</f>
        <v>n/a</v>
      </c>
      <c r="F124" s="71">
        <f>IF(F118="n/a",F118,F112*F118)</f>
        <v>20.46</v>
      </c>
      <c r="G124" s="71" t="str">
        <f>IF(G118="n/a",G118,G112*G118)</f>
        <v>n/a</v>
      </c>
      <c r="H124" s="71">
        <f>IF(H118="n/a",H118,H112*H118)</f>
        <v>182.094</v>
      </c>
      <c r="I124" s="71">
        <f>IF(I118="n/a",I118,I112*I118)</f>
        <v>102.3</v>
      </c>
      <c r="J124" s="122"/>
      <c r="K124" s="136">
        <f>SUM(E124:I124)</f>
        <v>304.854</v>
      </c>
    </row>
    <row r="125" spans="3:11" ht="12.75" customHeight="1">
      <c r="C125" s="3" t="s">
        <v>76</v>
      </c>
      <c r="D125" s="143" t="s">
        <v>78</v>
      </c>
      <c r="E125" s="70">
        <f>E113*E119</f>
        <v>64.64328542094457</v>
      </c>
      <c r="F125" s="70">
        <f>F113*F119</f>
        <v>2.851909650924024</v>
      </c>
      <c r="G125" s="70">
        <f>G113*G119</f>
        <v>0.9506365503080082</v>
      </c>
      <c r="H125" s="70">
        <f>H113*H119</f>
        <v>17.111457905544146</v>
      </c>
      <c r="I125" s="70">
        <f>I113*I119</f>
        <v>9.506365503080081</v>
      </c>
      <c r="J125" s="122"/>
      <c r="K125" s="136">
        <f>SUM(E125:I125)</f>
        <v>95.06365503080082</v>
      </c>
    </row>
    <row r="126" spans="4:11" ht="6" customHeight="1">
      <c r="D126" s="143"/>
      <c r="E126" s="133"/>
      <c r="F126" s="133"/>
      <c r="G126" s="133"/>
      <c r="H126" s="133"/>
      <c r="I126" s="133"/>
      <c r="J126" s="122"/>
      <c r="K126" s="137"/>
    </row>
    <row r="127" spans="3:11" ht="12.75" customHeight="1">
      <c r="C127" s="3" t="s">
        <v>79</v>
      </c>
      <c r="D127" s="143" t="s">
        <v>78</v>
      </c>
      <c r="E127" s="134">
        <f>SUM(E123:E125)</f>
        <v>644.9432854209446</v>
      </c>
      <c r="F127" s="134">
        <f>SUM(F123:F125)</f>
        <v>39.89190965092403</v>
      </c>
      <c r="G127" s="134">
        <f>SUM(G123:G125)</f>
        <v>2.6086365503080082</v>
      </c>
      <c r="H127" s="134">
        <f>SUM(H123:H125)</f>
        <v>346.7674579055442</v>
      </c>
      <c r="I127" s="134">
        <f>SUM(I123:I125)</f>
        <v>194.70636550308006</v>
      </c>
      <c r="J127" s="122"/>
      <c r="K127" s="72">
        <f>SUM(K123:K125)</f>
        <v>1228.917655030801</v>
      </c>
    </row>
    <row r="128" ht="18" customHeight="1">
      <c r="K128" s="125"/>
    </row>
    <row r="129" spans="3:11" ht="12.75" customHeight="1">
      <c r="C129" s="78" t="s">
        <v>80</v>
      </c>
      <c r="D129" s="143" t="s">
        <v>12</v>
      </c>
      <c r="E129" s="135">
        <f>E127/E111</f>
        <v>0.18426951012026987</v>
      </c>
      <c r="F129" s="135">
        <f>F127/F111</f>
        <v>0.3989190965092403</v>
      </c>
      <c r="G129" s="135">
        <f>G127/G111</f>
        <v>0.26086365503080083</v>
      </c>
      <c r="H129" s="135">
        <f>H127/H111</f>
        <v>0.38962635719724065</v>
      </c>
      <c r="I129" s="135">
        <f>I127/I111</f>
        <v>0.38941273100616014</v>
      </c>
      <c r="K129" s="138">
        <f>K127/K111</f>
        <v>0.24578353100616018</v>
      </c>
    </row>
  </sheetData>
  <sheetProtection/>
  <mergeCells count="6">
    <mergeCell ref="E29:I29"/>
    <mergeCell ref="E66:I66"/>
    <mergeCell ref="E103:I103"/>
    <mergeCell ref="E7:I7"/>
    <mergeCell ref="F4:G4"/>
    <mergeCell ref="F5:G5"/>
  </mergeCells>
  <printOptions/>
  <pageMargins left="0.7874015748031497" right="0.7874015748031497" top="0.7874015748031497" bottom="0.7874015748031497" header="0.5118110236220472" footer="0.3937007874015748"/>
  <pageSetup fitToHeight="1" fitToWidth="1" horizontalDpi="600" verticalDpi="600" orientation="landscape" paperSize="9" r:id="rId4"/>
  <headerFooter alignWithMargins="0">
    <oddFooter>&amp;L&amp;F  &amp;A&amp;CGasNet Australia&amp;R&amp;D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Gasnet Australia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GasNet</dc:creator>
  <cp:keywords/>
  <dc:description/>
  <cp:lastModifiedBy>Lee, Loretta</cp:lastModifiedBy>
  <cp:lastPrinted>2019-10-09T05:14:54Z</cp:lastPrinted>
  <dcterms:created xsi:type="dcterms:W3CDTF">2002-07-25T03:39:10Z</dcterms:created>
  <dcterms:modified xsi:type="dcterms:W3CDTF">2020-11-30T04:32:34Z</dcterms:modified>
  <cp:category/>
  <cp:version/>
  <cp:contentType/>
  <cp:contentStatus/>
</cp:coreProperties>
</file>