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68" tabRatio="665" activeTab="0"/>
  </bookViews>
  <sheets>
    <sheet name="Cover" sheetId="1" r:id="rId1"/>
    <sheet name="Contents" sheetId="2" r:id="rId2"/>
    <sheet name="1. Pipeline information" sheetId="3" r:id="rId3"/>
    <sheet name="1.1 Financial summary"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Shared supporting assets" sheetId="12" r:id="rId12"/>
    <sheet name="Auditor's Report Statements" sheetId="13" r:id="rId13"/>
    <sheet name="4 Recovered capital" sheetId="14" r:id="rId14"/>
    <sheet name="4.1 Pipelines capex" sheetId="15" r:id="rId15"/>
    <sheet name="5. Weighted average price" sheetId="16" r:id="rId16"/>
    <sheet name="5.1 Exempt WAP services" sheetId="17" r:id="rId17"/>
    <sheet name="5.2 Actual Pricing" sheetId="18" r:id="rId18"/>
    <sheet name="Auditor's Review Report WAP" sheetId="19" r:id="rId19"/>
    <sheet name="6. Notes" sheetId="20" r:id="rId20"/>
    <sheet name="Amendment record" sheetId="21" r:id="rId21"/>
    <sheet name="APA Amendment record" sheetId="22" r:id="rId22"/>
    <sheet name="Sheet1" sheetId="23" state="hidden" r:id="rId23"/>
  </sheets>
  <externalReferences>
    <externalReference r:id="rId26"/>
    <externalReference r:id="rId27"/>
    <externalReference r:id="rId28"/>
    <externalReference r:id="rId29"/>
    <externalReference r:id="rId30"/>
  </externalReferences>
  <definedNames>
    <definedName name="_xlfn.IFERROR" hidden="1">#NAME?</definedName>
    <definedName name="_xlfn.IFNA" hidden="1">#NAME?</definedName>
    <definedName name="_xlfn.SINGLE" hidden="1">#NAME?</definedName>
    <definedName name="_xlfn.SUMIFS" hidden="1">#NAME?</definedName>
    <definedName name="ABN">'Cover'!$C$17</definedName>
    <definedName name="_xlnm.Print_Area" localSheetId="2">'1. Pipeline information'!$A$1:$E$37</definedName>
    <definedName name="_xlnm.Print_Area" localSheetId="3">'1.1 Financial summary'!$A$1:$V$34</definedName>
    <definedName name="_xlnm.Print_Area" localSheetId="4">'2. Revenues and expenses'!$A$1:$I$41</definedName>
    <definedName name="_xlnm.Print_Area" localSheetId="5">'2.1 Revenue by service'!$A$1:$J$25</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assets'!$A$1:$W$91</definedName>
    <definedName name="_xlnm.Print_Area" localSheetId="10">'3.1 Pipeline asset useful life'!$A$1:$G$31</definedName>
    <definedName name="_xlnm.Print_Area" localSheetId="11">'3.2 Shared supporting assets'!$A$1:$H$42</definedName>
    <definedName name="_xlnm.Print_Area" localSheetId="13">'4 Recovered capital'!$A$1:$BL$46</definedName>
    <definedName name="_xlnm.Print_Area" localSheetId="14">'4.1 Pipelines capex'!$A$1:$F$35</definedName>
    <definedName name="_xlnm.Print_Area" localSheetId="15">'5. Weighted average price'!$A$1:$BH$25</definedName>
    <definedName name="_xlnm.Print_Area" localSheetId="16">'5.1 Exempt WAP services'!$A$1:$F$15</definedName>
    <definedName name="_xlnm.Print_Area" localSheetId="17">'5.2 Actual Pricing'!$A$1:$E$4</definedName>
    <definedName name="_xlnm.Print_Area" localSheetId="19">'6. Notes'!$A$1:$E$68</definedName>
    <definedName name="_xlnm.Print_Area" localSheetId="21">'APA Amendment record'!$A$1:$G$32</definedName>
    <definedName name="_xlnm.Print_Area" localSheetId="1">'Contents'!$B$2:$I$40</definedName>
    <definedName name="_xlnm.Print_Area" localSheetId="0">'Cover'!$A$1:$J$43</definedName>
    <definedName name="_xlnm.Print_Area" localSheetId="22">'Sheet1'!$A$1:$N$33</definedName>
    <definedName name="Tradingname">'Cover'!$C$15</definedName>
    <definedName name="Yearending">'Cover'!$C$23</definedName>
    <definedName name="Yearstart">'Cover'!$C$21</definedName>
  </definedNames>
  <calcPr calcMode="autoNoTable" fullCalcOnLoad="1"/>
</workbook>
</file>

<file path=xl/comments10.xml><?xml version="1.0" encoding="utf-8"?>
<comments xmlns="http://schemas.openxmlformats.org/spreadsheetml/2006/main">
  <authors>
    <author>Michael Dunnett</author>
    <author>Tong, Albert</author>
  </authors>
  <commentList>
    <comment ref="C86" authorId="0">
      <text>
        <r>
          <rPr>
            <sz val="9"/>
            <rFont val="Tahoma"/>
            <family val="2"/>
          </rPr>
          <t>Include only if allowed in the RFM Guidleline</t>
        </r>
      </text>
    </comment>
    <comment ref="C90" authorId="1">
      <text>
        <r>
          <rPr>
            <sz val="9"/>
            <rFont val="Tahoma"/>
            <family val="2"/>
          </rPr>
          <t>Enter the CPI % that is used to index the RAB as determined in accordance with the RFM Guideline</t>
        </r>
      </text>
    </comment>
    <comment ref="D9" authorId="1">
      <text>
        <r>
          <rPr>
            <b/>
            <sz val="9"/>
            <rFont val="Tahoma"/>
            <family val="2"/>
          </rPr>
          <t>AER:</t>
        </r>
        <r>
          <rPr>
            <sz val="9"/>
            <rFont val="Tahoma"/>
            <family val="2"/>
          </rPr>
          <t xml:space="preserve">
RAB at end of first year end since RAB established</t>
        </r>
      </text>
    </comment>
    <comment ref="E9" authorId="1">
      <text>
        <r>
          <rPr>
            <b/>
            <sz val="9"/>
            <rFont val="Tahoma"/>
            <family val="2"/>
          </rPr>
          <t>AER:</t>
        </r>
        <r>
          <rPr>
            <sz val="9"/>
            <rFont val="Tahoma"/>
            <family val="2"/>
          </rPr>
          <t xml:space="preserve">
RAB values at reference date plus 1 year</t>
        </r>
      </text>
    </comment>
    <comment ref="F9" authorId="1">
      <text>
        <r>
          <rPr>
            <b/>
            <sz val="9"/>
            <rFont val="Tahoma"/>
            <family val="2"/>
          </rPr>
          <t>AER:</t>
        </r>
        <r>
          <rPr>
            <sz val="9"/>
            <rFont val="Tahoma"/>
            <family val="2"/>
          </rPr>
          <t xml:space="preserve">
RAB year 2</t>
        </r>
      </text>
    </comment>
    <comment ref="G9" authorId="1">
      <text>
        <r>
          <rPr>
            <b/>
            <sz val="9"/>
            <rFont val="Tahoma"/>
            <family val="2"/>
          </rPr>
          <t>AER:</t>
        </r>
        <r>
          <rPr>
            <sz val="9"/>
            <rFont val="Tahoma"/>
            <family val="2"/>
          </rPr>
          <t xml:space="preserve">
RAB year 3</t>
        </r>
      </text>
    </comment>
    <comment ref="V9" authorId="1">
      <text>
        <r>
          <rPr>
            <b/>
            <sz val="9"/>
            <rFont val="Tahoma"/>
            <family val="2"/>
          </rPr>
          <t>AER:</t>
        </r>
        <r>
          <rPr>
            <sz val="9"/>
            <rFont val="Tahoma"/>
            <family val="2"/>
          </rPr>
          <t xml:space="preserve">
Service providers are to insert columns between columns G and H  as required so that every year between the date the RAB was established and the reporting period is reported.
</t>
        </r>
      </text>
    </comment>
  </commentList>
</comments>
</file>

<file path=xl/comments14.xml><?xml version="1.0" encoding="utf-8"?>
<comments xmlns="http://schemas.openxmlformats.org/spreadsheetml/2006/main">
  <authors>
    <author>De Mamiel, Helen</author>
  </authors>
  <commentList>
    <comment ref="D14"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1"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8"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comments4.xml><?xml version="1.0" encoding="utf-8"?>
<comments xmlns="http://schemas.openxmlformats.org/spreadsheetml/2006/main">
  <authors>
    <author>Tong, Albert</author>
  </authors>
  <commentList>
    <comment ref="B19" authorId="0">
      <text>
        <r>
          <rPr>
            <b/>
            <sz val="9"/>
            <rFont val="Tahoma"/>
            <family val="2"/>
          </rPr>
          <t>AER:</t>
        </r>
        <r>
          <rPr>
            <sz val="9"/>
            <rFont val="Tahoma"/>
            <family val="2"/>
          </rPr>
          <t xml:space="preserve">
This is an estimated indicative Return on Capital if this pipeline has been under full regulation ith a previously establish asset base and that the AER have validated all inputs as accurate and conforming.</t>
        </r>
      </text>
    </comment>
    <comment ref="B23" authorId="0">
      <text>
        <r>
          <rPr>
            <b/>
            <sz val="9"/>
            <rFont val="Tahoma"/>
            <family val="2"/>
          </rPr>
          <t xml:space="preserve">AER:
</t>
        </r>
        <r>
          <rPr>
            <sz val="9"/>
            <rFont val="Tahoma"/>
            <family val="2"/>
          </rPr>
          <t>This is an estimated indicative revenue if this pipeline has been under full regulation with a previously establish asset base and that the AER have validated all inputs as accurate and conforming</t>
        </r>
        <r>
          <rPr>
            <b/>
            <sz val="9"/>
            <rFont val="Tahoma"/>
            <family val="2"/>
          </rPr>
          <t>.</t>
        </r>
        <r>
          <rPr>
            <sz val="9"/>
            <rFont val="Tahoma"/>
            <family val="2"/>
          </rPr>
          <t xml:space="preserve">
</t>
        </r>
      </text>
    </comment>
    <comment ref="B18" authorId="0">
      <text>
        <r>
          <rPr>
            <b/>
            <sz val="9"/>
            <rFont val="Tahoma"/>
            <family val="2"/>
          </rPr>
          <t xml:space="preserve">AER:
</t>
        </r>
        <r>
          <rPr>
            <sz val="9"/>
            <rFont val="Tahoma"/>
            <family val="2"/>
          </rPr>
          <t xml:space="preserve">This is an estimated indicative Building Block Revenue if this pipeline has been under full regulation with a previously establish asset base and that the AER have validated all inputs as accurate and conforming.
</t>
        </r>
      </text>
    </comment>
    <comment ref="B29" authorId="0">
      <text>
        <r>
          <rPr>
            <b/>
            <sz val="9"/>
            <rFont val="Tahoma"/>
            <family val="2"/>
          </rPr>
          <t xml:space="preserve">AER:
</t>
        </r>
        <r>
          <rPr>
            <sz val="9"/>
            <rFont val="Tahoma"/>
            <family val="2"/>
          </rPr>
          <t xml:space="preserve">As stated in section 5 of the reporting guideline, the reporting of RCM value is only applicable on pipelines without a previous establish asset base from a regulator.
</t>
        </r>
      </text>
    </comment>
    <comment ref="D6" authorId="0">
      <text>
        <r>
          <rPr>
            <b/>
            <sz val="9"/>
            <rFont val="Tahoma"/>
            <family val="2"/>
          </rPr>
          <t>AER:</t>
        </r>
        <r>
          <rPr>
            <sz val="9"/>
            <rFont val="Tahoma"/>
            <family val="2"/>
          </rPr>
          <t xml:space="preserve">
RAB at end of first year end since RAB established</t>
        </r>
      </text>
    </comment>
    <comment ref="E6" authorId="0">
      <text>
        <r>
          <rPr>
            <b/>
            <sz val="9"/>
            <rFont val="Tahoma"/>
            <family val="2"/>
          </rPr>
          <t>AER:</t>
        </r>
        <r>
          <rPr>
            <sz val="9"/>
            <rFont val="Tahoma"/>
            <family val="2"/>
          </rPr>
          <t xml:space="preserve">
RAB values at reference date plus 1 year</t>
        </r>
      </text>
    </comment>
    <comment ref="F6" authorId="0">
      <text>
        <r>
          <rPr>
            <b/>
            <sz val="9"/>
            <rFont val="Tahoma"/>
            <family val="2"/>
          </rPr>
          <t>AER:</t>
        </r>
        <r>
          <rPr>
            <sz val="9"/>
            <rFont val="Tahoma"/>
            <family val="2"/>
          </rPr>
          <t xml:space="preserve">
RAB year 2</t>
        </r>
      </text>
    </comment>
    <comment ref="G6" authorId="0">
      <text>
        <r>
          <rPr>
            <b/>
            <sz val="9"/>
            <rFont val="Tahoma"/>
            <family val="2"/>
          </rPr>
          <t>AER:</t>
        </r>
        <r>
          <rPr>
            <sz val="9"/>
            <rFont val="Tahoma"/>
            <family val="2"/>
          </rPr>
          <t xml:space="preserve">
RAB year 3</t>
        </r>
      </text>
    </comment>
    <comment ref="V6" authorId="0">
      <text>
        <r>
          <rPr>
            <b/>
            <sz val="9"/>
            <rFont val="Tahoma"/>
            <family val="2"/>
          </rPr>
          <t>AER:</t>
        </r>
        <r>
          <rPr>
            <sz val="9"/>
            <rFont val="Tahoma"/>
            <family val="2"/>
          </rPr>
          <t xml:space="preserve">
Service providers are to insert columns between columns G and H  as required so that every year between the date the RAB was established and the reporting period is reported.
</t>
        </r>
      </text>
    </comment>
  </commentList>
</comments>
</file>

<file path=xl/sharedStrings.xml><?xml version="1.0" encoding="utf-8"?>
<sst xmlns="http://schemas.openxmlformats.org/spreadsheetml/2006/main" count="1138" uniqueCount="572">
  <si>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</si>
  <si>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</si>
  <si>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</si>
  <si>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</si>
  <si>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</si>
  <si>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</si>
  <si>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</si>
  <si>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</si>
  <si>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</si>
  <si>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</si>
  <si>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</si>
  <si>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</si>
  <si>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</si>
  <si>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</si>
  <si>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</si>
  <si>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</si>
  <si>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</si>
  <si>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</si>
  <si>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</si>
  <si>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</si>
  <si>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</si>
  <si>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</si>
  <si>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</si>
  <si>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</si>
  <si>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</si>
  <si>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</si>
  <si>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</si>
  <si>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</si>
  <si>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</si>
  <si>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</si>
  <si>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</si>
  <si>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</si>
  <si>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</si>
  <si>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</si>
  <si>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</si>
  <si>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</si>
  <si>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</si>
  <si>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</si>
  <si>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</si>
  <si>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</si>
  <si>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</si>
  <si>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</si>
  <si>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</si>
  <si>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</si>
  <si>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</si>
  <si>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</si>
  <si>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</si>
  <si>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</si>
  <si>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</si>
  <si>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</si>
  <si>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</si>
  <si>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</si>
  <si>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</si>
  <si>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</si>
  <si>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</si>
  <si>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</si>
  <si>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</si>
  <si>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</si>
  <si>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</si>
  <si>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</si>
  <si>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</si>
  <si>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</si>
  <si>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</si>
  <si>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</si>
  <si>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</si>
  <si>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</si>
  <si>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</si>
  <si>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</si>
  <si>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</si>
  <si>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</si>
  <si>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</si>
  <si>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Closing pipeline carrying value</t>
  </si>
  <si>
    <t>Improvements capitalised</t>
  </si>
  <si>
    <t>% allocated to pipeline</t>
  </si>
  <si>
    <t>Income statement account applied to</t>
  </si>
  <si>
    <t>Construction cost</t>
  </si>
  <si>
    <t>Additions</t>
  </si>
  <si>
    <t>Cost base</t>
  </si>
  <si>
    <t>Total pipeline assets</t>
  </si>
  <si>
    <t>Disposal (at cost)</t>
  </si>
  <si>
    <t>Backhaul services</t>
  </si>
  <si>
    <t>Capacity trading service</t>
  </si>
  <si>
    <t>In pipe trading service</t>
  </si>
  <si>
    <t>Year</t>
  </si>
  <si>
    <t>Asset description</t>
  </si>
  <si>
    <t>Compressors</t>
  </si>
  <si>
    <t>Closing compressors carrying value</t>
  </si>
  <si>
    <t>Odourant plants</t>
  </si>
  <si>
    <t>Closing odourant plants carrying value</t>
  </si>
  <si>
    <t>Closing buildings carrying value</t>
  </si>
  <si>
    <t>Total allocated to pipeline excluding related parties</t>
  </si>
  <si>
    <t>Total related party amounts allocated to pipeline</t>
  </si>
  <si>
    <t>Total exempt services</t>
  </si>
  <si>
    <t>Capacity based</t>
  </si>
  <si>
    <t>Volumetric based</t>
  </si>
  <si>
    <t>Total assets</t>
  </si>
  <si>
    <t>Earnings before Interest and tax (EBIT)</t>
  </si>
  <si>
    <t>Pipeline information</t>
  </si>
  <si>
    <t>Other Services</t>
  </si>
  <si>
    <t>Postage Stamp Transportation Services</t>
  </si>
  <si>
    <t>Zonal Based Transportation Services</t>
  </si>
  <si>
    <t>Distance Based Transportation Services (to major delivery points)</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</si>
  <si>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</si>
  <si>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</si>
  <si>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</si>
  <si>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</si>
  <si>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</si>
  <si>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</si>
  <si>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</si>
  <si>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</si>
  <si>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</si>
  <si>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</si>
  <si>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</si>
  <si>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</si>
  <si>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</si>
  <si>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</si>
  <si>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</si>
  <si>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</si>
  <si>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</si>
  <si>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Closing shared property, plant and equipment</t>
  </si>
  <si>
    <t>Total shared supporting assets allocated</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</si>
  <si>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</si>
  <si>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</si>
  <si>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</si>
  <si>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</si>
  <si>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</si>
  <si>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</si>
  <si>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</si>
  <si>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</si>
  <si>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</si>
  <si>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</si>
  <si>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</si>
  <si>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</si>
  <si>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</si>
  <si>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</si>
  <si>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</si>
  <si>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</si>
  <si>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</si>
  <si>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</si>
  <si>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</si>
  <si>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</si>
  <si>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</si>
  <si>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</si>
  <si>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</si>
  <si>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Closing Metering</t>
  </si>
  <si>
    <t>SCADA (Communications)</t>
  </si>
  <si>
    <t>Closing SCADA carrying value</t>
  </si>
  <si>
    <t>Land and easements</t>
  </si>
  <si>
    <t>Closing land and easements carrying value</t>
  </si>
  <si>
    <t>Other depreciable assets</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</si>
  <si>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</si>
  <si>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</si>
  <si>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</si>
  <si>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</si>
  <si>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</si>
  <si>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</si>
  <si>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</si>
  <si>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</si>
  <si>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 xml:space="preserve"> Firm forward haul transportation services</t>
  </si>
  <si>
    <t>Interruptible or as available transportation services</t>
  </si>
  <si>
    <t>Shared costs</t>
  </si>
  <si>
    <t>Reporting template</t>
  </si>
  <si>
    <t>Reporting period start date:</t>
  </si>
  <si>
    <t>Reporting period end date:</t>
  </si>
  <si>
    <t>Construction cost or acqusition cost (where allowed) apportioned</t>
  </si>
  <si>
    <t>Return on capital</t>
  </si>
  <si>
    <t>Total Return of Capital</t>
  </si>
  <si>
    <t>Negative residual value</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</si>
  <si>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</si>
  <si>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</si>
  <si>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</si>
  <si>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</si>
  <si>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</si>
  <si>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</si>
  <si>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</si>
  <si>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</si>
  <si>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</si>
  <si>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</si>
  <si>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</si>
  <si>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</si>
  <si>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</si>
  <si>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</si>
  <si>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</si>
  <si>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</si>
  <si>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</si>
  <si>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</si>
  <si>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</si>
  <si>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</si>
  <si>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</si>
  <si>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</si>
  <si>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</si>
  <si>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</si>
  <si>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</si>
  <si>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</si>
  <si>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</si>
  <si>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</si>
  <si>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</si>
  <si>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</si>
  <si>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</si>
  <si>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</si>
  <si>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</si>
  <si>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</si>
  <si>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</si>
  <si>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</si>
  <si>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</si>
  <si>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</si>
  <si>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</si>
  <si>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</si>
  <si>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Expenditure ($ nominal)</t>
  </si>
  <si>
    <t xml:space="preserve">insert asset description </t>
  </si>
  <si>
    <t>Table 3.1.1: Asset useful life</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</si>
  <si>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</si>
  <si>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</si>
  <si>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</si>
  <si>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</si>
  <si>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</si>
  <si>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</si>
  <si>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</si>
  <si>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</si>
  <si>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</si>
  <si>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</si>
  <si>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</si>
  <si>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</si>
  <si>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</si>
  <si>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</si>
  <si>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</si>
  <si>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</si>
  <si>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</si>
  <si>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</si>
  <si>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</si>
  <si>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</si>
  <si>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</si>
  <si>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</si>
  <si>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</si>
  <si>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</si>
  <si>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</si>
  <si>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</si>
  <si>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Change</t>
  </si>
  <si>
    <t>Reason</t>
  </si>
  <si>
    <t>Cell</t>
  </si>
  <si>
    <t>Recovered capital method</t>
  </si>
  <si>
    <t>Date opening RAB established</t>
  </si>
  <si>
    <t xml:space="preserve">Nominal Opening Regulatory Asset Base </t>
  </si>
  <si>
    <t>Nominal Capex</t>
  </si>
  <si>
    <t xml:space="preserve">Less Nominal Actual Regulatory Depreciation </t>
  </si>
  <si>
    <t xml:space="preserve">Date RAB established </t>
  </si>
  <si>
    <t xml:space="preserve">RAB at date established </t>
  </si>
  <si>
    <t>Return on Capital</t>
  </si>
  <si>
    <t>Operating Expenditure</t>
  </si>
  <si>
    <t>Guideline Reference</t>
  </si>
  <si>
    <t>Capex ($m, Nominal)</t>
  </si>
  <si>
    <t>As above</t>
  </si>
  <si>
    <t>Formula</t>
  </si>
  <si>
    <t>Inputs</t>
  </si>
  <si>
    <t>Net Tax Liabilities</t>
  </si>
  <si>
    <t>Nominal WACC</t>
  </si>
  <si>
    <t>Opex ($m, Nominal)</t>
  </si>
  <si>
    <t>RFM output</t>
  </si>
  <si>
    <t>CPI</t>
  </si>
  <si>
    <t>Government contribution revenue</t>
  </si>
  <si>
    <t>Table 1.1.1 Financial Summary</t>
  </si>
  <si>
    <t>Table 3.2.1: Shared supporting asset allocation</t>
  </si>
  <si>
    <t>Less Asset disposal (at cost)</t>
  </si>
  <si>
    <t>Less Depreciation of compressors</t>
  </si>
  <si>
    <t>Less Disposal (at cost)</t>
  </si>
  <si>
    <t>Less Depreciation of city gates, supply regulators and valve stations</t>
  </si>
  <si>
    <t>Less Depreciation of metering</t>
  </si>
  <si>
    <t>Less Depreciation of odourant plants</t>
  </si>
  <si>
    <t>Less Depreciation of SCADA</t>
  </si>
  <si>
    <t>Less Depreciation of buildings</t>
  </si>
  <si>
    <t>Less Depreciation/amortisation</t>
  </si>
  <si>
    <t>Less Shared property, plant and equipment depreciation</t>
  </si>
  <si>
    <t>Total Contribution ($m, Nominal)</t>
  </si>
  <si>
    <t>Opening other assets</t>
  </si>
  <si>
    <t>Change in other assets</t>
  </si>
  <si>
    <t>Closing other assets</t>
  </si>
  <si>
    <t>Less disposals of shared supporting assets</t>
  </si>
  <si>
    <t>Section 1.5.2</t>
  </si>
  <si>
    <t>Section 4</t>
  </si>
  <si>
    <t>Section 6</t>
  </si>
  <si>
    <t>Section 3</t>
  </si>
  <si>
    <t>Net Tax Liabilities ($m, Nominal)</t>
  </si>
  <si>
    <t>Actual Revenue</t>
  </si>
  <si>
    <t>Opening Asset Base ($m, Nominal) - RAB value</t>
  </si>
  <si>
    <t>Opening Asset Base ($m, Nominal) - RCM value</t>
  </si>
  <si>
    <t>Return of Capital</t>
  </si>
  <si>
    <t>Estimated Revenue (Based on RAB value)</t>
  </si>
  <si>
    <t>Building Block Revenue ($m, Nominal) - RAB value</t>
  </si>
  <si>
    <t>Recovered Capital ($m, Nominal) - if applicable</t>
  </si>
  <si>
    <t>4. Recovered Capital</t>
  </si>
  <si>
    <t>ALL</t>
  </si>
  <si>
    <t>Initial release</t>
  </si>
  <si>
    <t>NA</t>
  </si>
  <si>
    <t>Leased pipeline assets</t>
  </si>
  <si>
    <t>Closing leased pipeline assets carrying value</t>
  </si>
  <si>
    <t>Shared leased assets</t>
  </si>
  <si>
    <t>Closing shared leased assets carrying value</t>
  </si>
  <si>
    <t>3. Statement of pipeline assets</t>
  </si>
  <si>
    <t>3.1: Pipeline assets</t>
  </si>
  <si>
    <t>Rows 57 and 62</t>
  </si>
  <si>
    <t>Row inserted</t>
  </si>
  <si>
    <t>Rows 66 to 71</t>
  </si>
  <si>
    <t>To enable reporting of Leased Pipeline Assets per AASB16</t>
  </si>
  <si>
    <t>Rows 79 to 84</t>
  </si>
  <si>
    <t>To enable reporting of Shared Leased Assets per AASB16</t>
  </si>
  <si>
    <t>D65:H65</t>
  </si>
  <si>
    <t>Originally added rows 61 to 63, changed to 61 to 64</t>
  </si>
  <si>
    <t>D72:H72</t>
  </si>
  <si>
    <t>Updated to include Leased Pipeline Assets in Total Pipeline Assets</t>
  </si>
  <si>
    <t>D78:H78</t>
  </si>
  <si>
    <t>Originally added rows 74 to 76, changed to 74 to 77</t>
  </si>
  <si>
    <t>D88:H88</t>
  </si>
  <si>
    <t>Updated to include Shared Leased Assets in Total shared supporting assets allocated</t>
  </si>
  <si>
    <t>3.1 Pipeline asset useful life</t>
  </si>
  <si>
    <t>3.1.2: Leased asset life</t>
  </si>
  <si>
    <t>B29:F43</t>
  </si>
  <si>
    <t>Table to capture details of lease asset lives (AASB16)</t>
  </si>
  <si>
    <t>B30:G34</t>
  </si>
  <si>
    <t>3.2 Shared supporting assets</t>
  </si>
  <si>
    <t>3.2.1: Shared supporting asset allocation</t>
  </si>
  <si>
    <t>5 rows inserted to allow for additional assets per AASB16</t>
  </si>
  <si>
    <t>4.1 Pipelines capex</t>
  </si>
  <si>
    <t>B37:E43</t>
  </si>
  <si>
    <t>4.1.2: leased asset greater than 5% of construction cost</t>
  </si>
  <si>
    <t>Table to capture lease assets if greater than 5% of construction costs</t>
  </si>
  <si>
    <t>4 Recovered capital</t>
  </si>
  <si>
    <t>4.1: Recovered capital method - pipeline assets</t>
  </si>
  <si>
    <t>B17:B20</t>
  </si>
  <si>
    <t>Insert missing formulae totalling the Shared Supporting Asset items across periods</t>
  </si>
  <si>
    <t>Less Depreciation of land and easement</t>
  </si>
  <si>
    <t>1.1 Financial summary</t>
  </si>
  <si>
    <t>1.1.1 Financial summary</t>
  </si>
  <si>
    <t>D20:H20</t>
  </si>
  <si>
    <t>Format</t>
  </si>
  <si>
    <t>Formula updated</t>
  </si>
  <si>
    <t>New table</t>
  </si>
  <si>
    <t>New formulae</t>
  </si>
  <si>
    <t>Address polarity issue coming from the source data by adding a negative sign to the formula and update to include additional depreciation items from amendment #1 and AASB-16</t>
  </si>
  <si>
    <t>To enable reporting of all aspects of Land and Easements, and Other Depreciable Pipeline Assets.</t>
  </si>
  <si>
    <t>Use of actual year instead of "RAB year 1", "RAB year 2", "RAB year 3", etc.</t>
  </si>
  <si>
    <t>D8:H9</t>
  </si>
  <si>
    <t>D5:H7</t>
  </si>
  <si>
    <t xml:space="preserve">2.2 Revenue contributions </t>
  </si>
  <si>
    <t>2.2.1: Customer contributions received</t>
  </si>
  <si>
    <t>C9:E15 and C21:E27</t>
  </si>
  <si>
    <t>Number format changed to Comma, no decimal places</t>
  </si>
  <si>
    <t>D12:H89</t>
  </si>
  <si>
    <t>D90:H90</t>
  </si>
  <si>
    <t>Number format changed to Percentage, 2 decimal places</t>
  </si>
  <si>
    <t>Leased Assets</t>
  </si>
  <si>
    <t>Leased Asset Interest/Financing Charge</t>
  </si>
  <si>
    <t>Rows 14, 21 and 28</t>
  </si>
  <si>
    <t>Rows inserted to separately capture the impacts of changes to accounting for leases.</t>
  </si>
  <si>
    <t>E14</t>
  </si>
  <si>
    <t>Correct error in formula, as adding incorrect years.  Formula now consistent with columns D, F, G and H</t>
  </si>
  <si>
    <t>Formulae added to columns C and D</t>
  </si>
  <si>
    <t>Formulae added to bring last period closing balance to opening balance</t>
  </si>
  <si>
    <t>E12:H12, E19:H19, E25:H25, E31:H31, E37:H37, E43:H43, E49:H49, E55:H55, E61:H61, E67:H67, E74:H74, E80:H80, E85:H85</t>
  </si>
  <si>
    <t>Actual Pricing per section 7.3 of Guideline</t>
  </si>
  <si>
    <t>5.2 Actual Pricing</t>
  </si>
  <si>
    <t>Worksheet added</t>
  </si>
  <si>
    <t>Table deleted</t>
  </si>
  <si>
    <t>Leased assets meet definition of capital expenditure and therefore should not have a separate table, rather lease assets are to be included in table 4.1.1</t>
  </si>
  <si>
    <t>Leased assets meet definition of assets and therefore should not have a separate table, rather lease assets are to be included in table 3.1.1</t>
  </si>
  <si>
    <t>3.1.1: Asset useful life</t>
  </si>
  <si>
    <t>B21:F25 and B32:F36</t>
  </si>
  <si>
    <t>Rows inserted to separately capture the impacts of lives of lease assets.</t>
  </si>
  <si>
    <t>E9:E14, E21:E26</t>
  </si>
  <si>
    <t>Cover</t>
  </si>
  <si>
    <t>Level 25, 580 George Street</t>
  </si>
  <si>
    <t>Sydney</t>
  </si>
  <si>
    <t>NSW</t>
  </si>
  <si>
    <t>PO Box R41</t>
  </si>
  <si>
    <t>APA Amendment Record</t>
  </si>
  <si>
    <t>APA amendment#</t>
  </si>
  <si>
    <t>D33 and D34</t>
  </si>
  <si>
    <t>Change colour of font from white to black.</t>
  </si>
  <si>
    <t>Royal Exchange</t>
  </si>
  <si>
    <t>To make postal address visible.</t>
  </si>
  <si>
    <t>2. Revenues and expenses</t>
  </si>
  <si>
    <t>2.4 Shared costs</t>
  </si>
  <si>
    <t>Corporate operating expenditure</t>
  </si>
  <si>
    <t>H36 &amp; I36</t>
  </si>
  <si>
    <t>Formulas in H36 and I36 changed to "Sum(H9:H17)" and "Sum(I9:I17)", respectively.</t>
  </si>
  <si>
    <t>Changed range and sum range in sumif formula.</t>
  </si>
  <si>
    <t>To correctly reflect amounts from tab 2.4.</t>
  </si>
  <si>
    <t>Cell D29:D37 &amp; Cell E29:E37</t>
  </si>
  <si>
    <t>A7:I7</t>
  </si>
  <si>
    <t>Cells merged</t>
  </si>
  <si>
    <t>EAST AUSTRALIAN PIPELINE PTY LIMITED</t>
  </si>
  <si>
    <t>Moomba Sydney Pipeline</t>
  </si>
  <si>
    <t>1. Pipeline information</t>
  </si>
  <si>
    <t>C8:C9</t>
  </si>
  <si>
    <t>Formatting updated</t>
  </si>
  <si>
    <t>Numbers formatted to the nearest dollar, negatives shown in brackets</t>
  </si>
  <si>
    <t>1.1.1</t>
  </si>
  <si>
    <t>D11:I40</t>
  </si>
  <si>
    <t>I13</t>
  </si>
  <si>
    <t>2.1 Revenue by service</t>
  </si>
  <si>
    <t>2.1.1</t>
  </si>
  <si>
    <t>D11:I24</t>
  </si>
  <si>
    <t>I24</t>
  </si>
  <si>
    <t>2.2.1</t>
  </si>
  <si>
    <t>C9:E15</t>
  </si>
  <si>
    <t>2.2.2</t>
  </si>
  <si>
    <t>D21:D27</t>
  </si>
  <si>
    <t>2.3 Indirect revenue</t>
  </si>
  <si>
    <t>2.3.1</t>
  </si>
  <si>
    <t>D9:E36</t>
  </si>
  <si>
    <t>G9:H36</t>
  </si>
  <si>
    <t>2.4.1</t>
  </si>
  <si>
    <t>E9:F36, H9:I36</t>
  </si>
  <si>
    <t>H36</t>
  </si>
  <si>
    <t>I36</t>
  </si>
  <si>
    <t>D5</t>
  </si>
  <si>
    <t>3.1.1</t>
  </si>
  <si>
    <t>E9:E37</t>
  </si>
  <si>
    <t>3.2.1</t>
  </si>
  <si>
    <t>E9:E41, G9:G41</t>
  </si>
  <si>
    <t>4. Recovered capital</t>
  </si>
  <si>
    <t>E10:BH32</t>
  </si>
  <si>
    <t>Background amended</t>
  </si>
  <si>
    <t>4.1.1</t>
  </si>
  <si>
    <t>E8:E34</t>
  </si>
  <si>
    <t>5. Weighted average price</t>
  </si>
  <si>
    <t>C12:BH20</t>
  </si>
  <si>
    <t xml:space="preserve">Information Technology </t>
  </si>
  <si>
    <t>Property plant and equipment</t>
  </si>
  <si>
    <t>D11:L31</t>
  </si>
  <si>
    <t xml:space="preserve">Per Appendix A - Pipeline asset lives </t>
  </si>
  <si>
    <t xml:space="preserve">Indefinite </t>
  </si>
  <si>
    <t>Shared leased asset interest</t>
  </si>
  <si>
    <t>D11:AB11</t>
  </si>
  <si>
    <t>Customer contribution</t>
  </si>
  <si>
    <t xml:space="preserve"> Zone 1 (Moomba to Wilton/Culcairn)</t>
  </si>
  <si>
    <t>Zone 2 (Culcairn to Culcairn)</t>
  </si>
  <si>
    <t>Zone 3 (Culcairn &amp; Wilton)</t>
  </si>
  <si>
    <t>APA Distance ($/GJ/KM) Charge Weighted Average Price</t>
  </si>
  <si>
    <t>Revenue ($'000)</t>
  </si>
  <si>
    <t>Distance x MDQ</t>
  </si>
  <si>
    <t>WAP ($/GJ/KM)</t>
  </si>
  <si>
    <t>Firm Capacity</t>
  </si>
  <si>
    <t>Firm Throughput</t>
  </si>
  <si>
    <t>Interruptible / As Available / Authorised Overrun</t>
  </si>
  <si>
    <t>Per Appendix A - Pipeline asset lives and RBP Access Arrangement</t>
  </si>
  <si>
    <t>Yes</t>
  </si>
  <si>
    <t>No</t>
  </si>
  <si>
    <t>Redirection service</t>
  </si>
  <si>
    <t>Auction service</t>
  </si>
  <si>
    <t>General</t>
  </si>
  <si>
    <t xml:space="preserve">APA is reporting the MSP as a single integrated system. Further details can be found in the Basis of Preparation. </t>
  </si>
  <si>
    <t>APA has counted each contracting entity as a separate customer to determine customer numbers for each pipeline.</t>
  </si>
  <si>
    <t>Pipeline Services listed are those contracted to customers within the reporting period for the pipeline. Some services, in particular non-firm services, may be contracted but not used.</t>
  </si>
  <si>
    <t>Table reference</t>
  </si>
  <si>
    <t>Shared assets represents majority Information Technology assets and other assets such as office related costs and motor vehicles. The values are reported on a gross book basis.</t>
  </si>
  <si>
    <t>In accordance with the Guideline, APA has not reported revenue in respect of exempt services against the relevant service category in Table 5.1. Instead, revenue associated with exempt services is aggregated and reported under “Total exempt services” in Table 5.1.</t>
  </si>
  <si>
    <t>APA has reported some weighted average price information for the MSP outside of the AER reporting template. Further details can be found in the Basis of Preparation. A Table setting out distances between key locations on the MSP is provided below to assist in interpreting the supplementary weighted average price information provided.</t>
  </si>
  <si>
    <t>MSP Distances to Delivery Points from Moomba Receipt Point and Culcairn Receipt Point</t>
  </si>
  <si>
    <t>Delivery Point</t>
  </si>
  <si>
    <t>Distance from Moomba</t>
  </si>
  <si>
    <t>Distance from Culcairn</t>
  </si>
  <si>
    <t>Receipt Point</t>
  </si>
  <si>
    <t>Mainline Delivery Points</t>
  </si>
  <si>
    <t>Bulla Park (STP)</t>
  </si>
  <si>
    <t>Marsden/Marsden (STP)/West Wyalong</t>
  </si>
  <si>
    <t>Young Control Centre (Young Junction)</t>
  </si>
  <si>
    <t>Boorowa (STP)</t>
  </si>
  <si>
    <t>Yass/Yass (STP)/Blakney Creek</t>
  </si>
  <si>
    <t>Goulburn</t>
  </si>
  <si>
    <t>Marulan</t>
  </si>
  <si>
    <t>Sally's Corner (STP)</t>
  </si>
  <si>
    <t>Moss Vale</t>
  </si>
  <si>
    <t>Bowral</t>
  </si>
  <si>
    <t>Bargo (STP)</t>
  </si>
  <si>
    <t>Wilton</t>
  </si>
  <si>
    <t>Northern Lateral</t>
  </si>
  <si>
    <t>Wallenbeen (STP)</t>
  </si>
  <si>
    <t>Cowra</t>
  </si>
  <si>
    <t>Blayney</t>
  </si>
  <si>
    <t>Millthorpe (STP)</t>
  </si>
  <si>
    <t>Orange</t>
  </si>
  <si>
    <t>Bathurst</t>
  </si>
  <si>
    <t>Oberon</t>
  </si>
  <si>
    <t>Wallerawang (STP)</t>
  </si>
  <si>
    <t>Lithgow</t>
  </si>
  <si>
    <t>Dalton – Canberra Lateral</t>
  </si>
  <si>
    <t>Canberra</t>
  </si>
  <si>
    <t>Young to Culcairn Lateral</t>
  </si>
  <si>
    <t>Young Township (meter station)</t>
  </si>
  <si>
    <t>Cootamundra offtake</t>
  </si>
  <si>
    <t>Illabo</t>
  </si>
  <si>
    <t>Burnt Creek meter station</t>
  </si>
  <si>
    <t>Wagga Wagga (Bomen )</t>
  </si>
  <si>
    <t>Uranquinty</t>
  </si>
  <si>
    <t>Henty (STP)</t>
  </si>
  <si>
    <t>Burnt Creek – Griffith Spur</t>
  </si>
  <si>
    <t>Burnt Creek</t>
  </si>
  <si>
    <t>Junee</t>
  </si>
  <si>
    <t>Coolamon</t>
  </si>
  <si>
    <t>Ganmain</t>
  </si>
  <si>
    <t>Narrandera</t>
  </si>
  <si>
    <t>Rockdale</t>
  </si>
  <si>
    <t>Leeton</t>
  </si>
  <si>
    <t>Griffith</t>
  </si>
  <si>
    <t>Per Leased assets average life</t>
  </si>
  <si>
    <t>Per Leased assets lives</t>
  </si>
  <si>
    <t>N/A</t>
  </si>
  <si>
    <t xml:space="preserve">Change to formula to reflect disposals as a positive number. </t>
  </si>
  <si>
    <t>Line13</t>
  </si>
  <si>
    <t>To correctly state the return on capital reported in line 19, if formula was left as it was, Return on capital would have been over stated.</t>
  </si>
  <si>
    <t>Formula updated to include all relevant cells from tab 3 - additions for other depreciable pipeline assets, leased pipeline assets and shared leased assets were not included.</t>
  </si>
  <si>
    <t>To be inline with lines 8 and 9.</t>
  </si>
  <si>
    <t>Numbers formatted to the nearest dollar, negatives shown in brackets.</t>
  </si>
  <si>
    <t>Formula to include all relevant cells (Total direct revenue) to determine Closing value for Total direct revenue.</t>
  </si>
  <si>
    <t>Formula to include all relevant cells (Direct revenue) to determine Closing value for Direct revenue.</t>
  </si>
  <si>
    <t>Numbers are formatted from general number display to accounting number display, ie display 0 as "-" rather than number "0".</t>
  </si>
  <si>
    <t>Total was incorrect..</t>
  </si>
  <si>
    <t>Formula updated to sum H9:H17, it was totalling H9:H35.</t>
  </si>
  <si>
    <t>Formula updated to sum I9:I17, it was totalling I9:i35.</t>
  </si>
  <si>
    <t>Numbers formatted to the nearest whole number.</t>
  </si>
  <si>
    <t>C30 &amp; C31</t>
  </si>
  <si>
    <t>Description changed from "As above" to "4. Recovered Capital".</t>
  </si>
  <si>
    <t>Disclosure purposes.</t>
  </si>
  <si>
    <t>Lines 30 &amp; 31</t>
  </si>
  <si>
    <t>Change to disclose "N/A".  As RCM section is not relevant to this asset.</t>
  </si>
  <si>
    <t>APARegReporting@apa.com.au</t>
  </si>
  <si>
    <t>Interest charge on the Right of Use asset are for reporting purposes in the financial summary included as part of operating expenditure and not separated out in the model.</t>
  </si>
  <si>
    <t>Inadvertently excluded from original template, refer Guideline section 7.3</t>
  </si>
  <si>
    <t>Background amended to white, consistent with the rest of the workbook</t>
  </si>
  <si>
    <t>Acquisition date</t>
  </si>
  <si>
    <t>D7</t>
  </si>
  <si>
    <t>Spelling</t>
  </si>
  <si>
    <t>"Acquisition" missed an "i"</t>
  </si>
  <si>
    <t>3.3.1</t>
  </si>
  <si>
    <t>3.3.2</t>
  </si>
  <si>
    <t>3.3.2.1</t>
  </si>
  <si>
    <t>3.3.2.3</t>
  </si>
  <si>
    <t>3.3.2.2</t>
  </si>
  <si>
    <t>3.4.2</t>
  </si>
  <si>
    <t>3.4.5</t>
  </si>
  <si>
    <t>3.4.6</t>
  </si>
  <si>
    <t>4.3.3</t>
  </si>
  <si>
    <t>4.3.2</t>
  </si>
  <si>
    <t>4.3.5</t>
  </si>
  <si>
    <t>4.3.4</t>
  </si>
  <si>
    <t>Disposal (at proceeds) ($m, Nominal)</t>
  </si>
  <si>
    <t>B13</t>
  </si>
  <si>
    <t>Description changed to "Disposal (at proceeds)"</t>
  </si>
  <si>
    <t>To reflect that disposals are recorded at proceeds.</t>
  </si>
  <si>
    <t>The debt raising cost included in the table 1.1.1 is calculated by applying the debt raising cost rate to the average Regulated Asset Base to the permitted proportion of 60% for debt funding.</t>
  </si>
  <si>
    <t xml:space="preserve">Other depreciable pipeline assets includes items such as information technology systems, motor vehicles, office, the Pipeline maintenance agreement contract intangible and pipeline related costs which have different useful lives ranging from 5 to 80 years.  APA has reported the information by asset categories in a summary line reflective of all assets acquired at inception to 30 June 2021. </t>
  </si>
  <si>
    <t>Bruce Song (Investor Relations Specialist -Investor Rel &amp; Analytics)</t>
  </si>
  <si>
    <t>+61 (2) 9275 0052</t>
  </si>
  <si>
    <t>1.1.1, 2.1 &amp; 3.1</t>
  </si>
  <si>
    <t>Customer contribution in table 2.2.1 from FY21 onwards represents revenue in instances where a customer with an underlying GTA contributes to the capital expenditure of the pipeline. FY20 reporting disclosed some deferred revenue and recoverable works as customer contribution revenue which was incorrectly disclosed as customer contribution. The total revenue in table 2.1.1 ‘Revenue by service’ was always correctly reporting the total revenue earned on the pipeline as the Customer contribution amounts automatically formed part of the total revenue table. The deferred revenue should instead of ‘Customer contribution’ have been ‘Other direct revenue’.</t>
  </si>
  <si>
    <t>Recoverable works revenue associated to capital expenditure are for reporting purposes in the financial summary included as part of Total Contribution.</t>
  </si>
  <si>
    <t>The financial reporting under light regulation is an annual reporting requirement for APA's light regulation pipelines, requiring annual publishing by 31 October 2021.  As the deadline for the year ended 30 June 2021 fell on a weekend, the information was published the next business day - Monday 1st November 2021.</t>
  </si>
  <si>
    <r>
      <rPr>
        <b/>
        <sz val="8.4"/>
        <rFont val="Century Gothic"/>
        <family val="2"/>
      </rPr>
      <t>Change in accounting policy – Software-as-a-Service arrangements</t>
    </r>
    <r>
      <rPr>
        <sz val="10.5"/>
        <rFont val="Century Gothic"/>
        <family val="2"/>
      </rPr>
      <t xml:space="preserve">
During the year, APA Group revised its accounting policy to record the configuration and customisation costs incurred in implementation of SaaS arrangements as an operating expense within profit or loss in response to the IFRS Interpretations Committee's ("IFRIC") Agenda Decision published in April 2021 related to accounting for Software-as-a-Service ("SaaS") arrangements. For Group Statutory Financial Accounting purposes, APA Group has implemented the IFRIC Agenda Decision retrospectively. As the regulatory framework under Part 23 does not account for retained earnings, the configuration and customisation costs incurred in implementation of SaaS arrangements for all prior periods (FY2018-FY2020) have been expensed in the current year’s profit or loss in the ‘Statement of Pipeline Revenue and Expenses’ and the ‘Recovered Capital Method’.
For Part 7 reporting, capitalised implementation cost relating to SaaS arrangements were de-recognised in FY 21 through a decrease in the current year allocation of shared support assets. 
Included in the total corporate expenditure of $10,439,627 recorded in the current year’s profit or loss in the ‘Statement of Pipeline Revenue and Expenses’ is $1,508,422 of implementation costs relating to prior periods that were capitalised and recognised in property, plant and equipment on a cumulative basis through to 30 June 2020. APA has assessed the amounts charged to the profit or loss in FY21 relating to prior periods, have no material impact on APA's current nor prior periods Part 23 Financial Reporting. On that basis, APA has not restated the prior period comparative amounts in the ‘Statement of Pipeline Revenue and Expenses’ nor the ‘Recovered Capital Method’. </t>
    </r>
  </si>
  <si>
    <r>
      <rPr>
        <b/>
        <sz val="8.4"/>
        <rFont val="Century Gothic"/>
        <family val="2"/>
      </rPr>
      <t>Cut off</t>
    </r>
    <r>
      <rPr>
        <sz val="10.5"/>
        <rFont val="Century Gothic"/>
        <family val="2"/>
      </rPr>
      <t xml:space="preserve">
APA identified pipeline asset additions recorded during 2021 amounting to $4,603,676 which related to assets placed in service in a prior period (2017 $642,325, 2019 -$17,213 and 2020 $3,978,564). The comparative periods included in the Statement of Pipeline Assets have been restated to correctly reflect the additions during the year in which they should be recognised.  The impact of the change was assessed as being immaterial. The Capex reported in the Statement of pipeline assets includes the cutoff amounts specified and a half year WACC Allowance.</t>
    </r>
  </si>
  <si>
    <t>33 064 629 009</t>
  </si>
  <si>
    <t>New South Wales</t>
  </si>
  <si>
    <t>Transmission</t>
  </si>
  <si>
    <t>1/7/2003 to 30/6/2021</t>
  </si>
  <si>
    <t>1/7/2009 to 30/6/2020</t>
  </si>
  <si>
    <t>1/7/2011 to 30/6/2018</t>
  </si>
  <si>
    <t>1/7/2003 to 30/6/2020</t>
  </si>
  <si>
    <t>1/7/2019 to 30/6/2020</t>
  </si>
  <si>
    <t>5-60</t>
  </si>
  <si>
    <t>N/a</t>
  </si>
  <si>
    <t>Backhaul service</t>
  </si>
  <si>
    <t>Firm forward haul transportation services - part-haul (Culcairn and Culcairn)</t>
  </si>
  <si>
    <t>Firm forward haul transportation services - part-haul (Wilton and Wilton)</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</si>
</sst>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_-;\-* #,##0_-;_-* &quot;-&quot;??_-;_-@_-"/>
    <numFmt numFmtId="183" formatCode="_-* #,##0.000_-;\-* #,##0.000_-;_-* &quot;-&quot;??_-;_-@_-"/>
    <numFmt numFmtId="184" formatCode="_-* #,##0.0_-;\-* #,##0.0_-;_-* &quot;-&quot;??_-;_-@_-"/>
    <numFmt numFmtId="185" formatCode="_-* #,##0.0_-;\-* #,##0.0_-;_-* &quot;-&quot;?_-;_-@_-"/>
    <numFmt numFmtId="186" formatCode="0.0%"/>
    <numFmt numFmtId="187" formatCode="d/mm/yy;@"/>
    <numFmt numFmtId="188" formatCode="#,##0.00_);\(#,##0.00\)"/>
    <numFmt numFmtId="189" formatCode="#,##0_);\(#,##0\)"/>
    <numFmt numFmtId="190" formatCode="_-&quot;$&quot;* #,##0_-;\-&quot;$&quot;* #,##0_-;_-&quot;$&quot;* &quot;-&quot;??_-;_-@_-"/>
    <numFmt numFmtId="191" formatCode="[Green]General;[Red]\-General;0"/>
    <numFmt numFmtId="192" formatCode="#,##0;[Black]\(#,##0\)"/>
    <numFmt numFmtId="193" formatCode="#,###;\(#,###\)"/>
    <numFmt numFmtId="194" formatCode="_-* #,##0.0000_-;\-* #,##0.0000_-;_-* &quot;-&quot;??_-;_-@_-"/>
    <numFmt numFmtId="195" formatCode="0.0000%"/>
    <numFmt numFmtId="196" formatCode="0.0000000%"/>
    <numFmt numFmtId="197" formatCode="_(* #,##0.00_);_(* \(#,##0.00\);_(* &quot;-&quot;??_);_(@_)"/>
    <numFmt numFmtId="198" formatCode="_-&quot;$&quot;* #,##0.00000_-;\-&quot;$&quot;* #,##0.00000_-;_-&quot;$&quot;* &quot;-&quot;??_-;_-@_-"/>
    <numFmt numFmtId="199" formatCode="_-* #,##0.00\ _-;\(\ #,##0.00\ \);"/>
    <numFmt numFmtId="200" formatCode="0.000%"/>
    <numFmt numFmtId="201" formatCode="0.000000%"/>
    <numFmt numFmtId="202" formatCode="0.00000%"/>
    <numFmt numFmtId="203" formatCode="_(* #,##0.00%_);_(* \(#,##0.00%\);_(* &quot;-&quot;??_);_(@_)"/>
    <numFmt numFmtId="204" formatCode="_(* #,##0.00%_);_(* \(#,##0.00%\);_(* &quot;-&quot;_);_(@_)"/>
    <numFmt numFmtId="205" formatCode="_-* #,##0.000_-;\-* #,##0.000_-;_-* &quot;-&quot;???_-;_-@_-"/>
    <numFmt numFmtId="206" formatCode="dd/mm/yy;@"/>
    <numFmt numFmtId="207" formatCode="_-* #,##0.00000000_-;\-* #,##0.00000000_-;_-* &quot;-&quot;????????_-;_-@_-"/>
    <numFmt numFmtId="208" formatCode="0.000000"/>
    <numFmt numFmtId="209" formatCode="0.0000000"/>
    <numFmt numFmtId="210" formatCode="0.00000000"/>
    <numFmt numFmtId="211" formatCode="0.00000"/>
    <numFmt numFmtId="212" formatCode="0.000"/>
    <numFmt numFmtId="213" formatCode="_-* #,##0.00000_-;\-* #,##0.00000_-;_-* &quot;-&quot;??_-;_-@_-"/>
  </numFmts>
  <fonts count="73">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9"/>
      <name val="Arial"/>
      <family val="2"/>
    </font>
    <font>
      <b/>
      <sz val="9"/>
      <name val="Tahoma"/>
      <family val="2"/>
    </font>
    <font>
      <sz val="9"/>
      <name val="Arial"/>
      <family val="2"/>
    </font>
    <font>
      <sz val="10.5"/>
      <name val="Century Gothic"/>
      <family val="2"/>
    </font>
    <font>
      <b/>
      <sz val="8.4"/>
      <name val="Century Gothic"/>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2"/>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b/>
      <sz val="10"/>
      <color theme="0"/>
      <name val="Arial"/>
      <family val="2"/>
    </font>
    <font>
      <b/>
      <sz val="10"/>
      <color rgb="FFFFCC00"/>
      <name val="Arial"/>
      <family val="2"/>
    </font>
    <font>
      <sz val="10"/>
      <color rgb="FFFFCC00"/>
      <name val="Arial"/>
      <family val="2"/>
    </font>
    <font>
      <b/>
      <sz val="9"/>
      <color theme="0"/>
      <name val="Malgun Gothic"/>
      <family val="2"/>
    </font>
  </fonts>
  <fills count="35">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1"/>
        <bgColor indexed="64"/>
      </patternFill>
    </fill>
    <fill>
      <patternFill patternType="solid">
        <fgColor rgb="FF333399"/>
        <bgColor indexed="64"/>
      </patternFill>
    </fill>
    <fill>
      <patternFill patternType="solid">
        <fgColor rgb="FFFFFFCC"/>
        <bgColor indexed="64"/>
      </patternFill>
    </fill>
    <fill>
      <patternFill patternType="solid">
        <fgColor rgb="FFC0000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style="medium"/>
      <right style="medium"/>
      <top style="medium"/>
      <bottom style="medium"/>
    </border>
    <border>
      <left style="medium"/>
      <right style="medium"/>
      <top/>
      <bottom style="medium"/>
    </border>
    <border>
      <left style="medium"/>
      <right style="medium"/>
      <top/>
      <bottom/>
    </border>
    <border>
      <left style="thin"/>
      <right style="thin"/>
      <top/>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pplyNumberFormat="0" applyFill="0" applyBorder="0" applyAlignment="0" applyProtection="0"/>
    <xf numFmtId="0" fontId="61" fillId="0" borderId="0">
      <alignment/>
      <protection/>
    </xf>
    <xf numFmtId="0" fontId="0" fillId="0" borderId="0">
      <alignment/>
      <protection/>
    </xf>
    <xf numFmtId="0" fontId="61"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59">
    <xf numFmtId="0" fontId="0" fillId="0" borderId="0" xfId="0" applyAlignment="1">
      <alignment/>
    </xf>
    <xf numFmtId="0" fontId="1" fillId="5" borderId="0" xfId="129" applyFont="1">
      <alignment/>
      <protection/>
    </xf>
    <xf numFmtId="0" fontId="0" fillId="5" borderId="0" xfId="129">
      <alignment/>
      <protection/>
    </xf>
    <xf numFmtId="0" fontId="2" fillId="5" borderId="0" xfId="129" applyFont="1">
      <alignment/>
      <protection/>
    </xf>
    <xf numFmtId="2" fontId="6" fillId="5" borderId="0" xfId="129" applyNumberFormat="1" applyFont="1" applyBorder="1" applyAlignment="1" applyProtection="1">
      <alignment horizontal="left"/>
      <protection/>
    </xf>
    <xf numFmtId="0" fontId="7" fillId="5" borderId="0" xfId="129" applyFont="1" applyAlignment="1" applyProtection="1">
      <alignment/>
      <protection locked="0"/>
    </xf>
    <xf numFmtId="0" fontId="7" fillId="5" borderId="0" xfId="129" applyFont="1" applyProtection="1">
      <alignment/>
      <protection locked="0"/>
    </xf>
    <xf numFmtId="0" fontId="6" fillId="5" borderId="0" xfId="129" applyFont="1">
      <alignment/>
      <protection/>
    </xf>
    <xf numFmtId="0" fontId="0" fillId="5" borderId="0" xfId="129" applyAlignment="1">
      <alignment/>
      <protection/>
    </xf>
    <xf numFmtId="0" fontId="8" fillId="17" borderId="10" xfId="129" applyFont="1" applyFill="1" applyBorder="1">
      <alignment/>
      <protection/>
    </xf>
    <xf numFmtId="0" fontId="9" fillId="17" borderId="10" xfId="129" applyFont="1" applyFill="1" applyBorder="1">
      <alignment/>
      <protection/>
    </xf>
    <xf numFmtId="0" fontId="9" fillId="5" borderId="0" xfId="129" applyFont="1">
      <alignment/>
      <protection/>
    </xf>
    <xf numFmtId="0" fontId="8" fillId="17" borderId="11" xfId="129" applyFont="1" applyFill="1" applyBorder="1">
      <alignment/>
      <protection/>
    </xf>
    <xf numFmtId="0" fontId="9" fillId="17" borderId="12" xfId="129" applyFont="1" applyFill="1" applyBorder="1">
      <alignment/>
      <protection/>
    </xf>
    <xf numFmtId="0" fontId="11" fillId="5" borderId="0" xfId="127" applyFont="1">
      <alignment/>
      <protection/>
    </xf>
    <xf numFmtId="0" fontId="11" fillId="5" borderId="0" xfId="127" applyFont="1" applyFill="1" applyBorder="1">
      <alignment/>
      <protection/>
    </xf>
    <xf numFmtId="0" fontId="11" fillId="5" borderId="0" xfId="127" applyFont="1" applyFill="1">
      <alignment/>
      <protection/>
    </xf>
    <xf numFmtId="0" fontId="12" fillId="5" borderId="0" xfId="127" applyFont="1" applyFill="1" applyBorder="1" applyAlignment="1">
      <alignment vertical="center"/>
      <protection/>
    </xf>
    <xf numFmtId="0" fontId="12" fillId="5" borderId="0" xfId="127" applyFont="1" applyFill="1" applyBorder="1" applyAlignment="1">
      <alignment/>
      <protection/>
    </xf>
    <xf numFmtId="0" fontId="11" fillId="5" borderId="0" xfId="127" applyFont="1" applyFill="1" applyBorder="1" applyAlignment="1">
      <alignment vertical="center"/>
      <protection/>
    </xf>
    <xf numFmtId="0" fontId="11" fillId="5" borderId="0" xfId="127" applyFont="1" applyAlignment="1">
      <alignment vertical="center"/>
      <protection/>
    </xf>
    <xf numFmtId="0" fontId="14" fillId="18" borderId="13" xfId="127" applyFont="1" applyFill="1" applyBorder="1" applyAlignment="1">
      <alignment vertical="center"/>
      <protection/>
    </xf>
    <xf numFmtId="0" fontId="2" fillId="18" borderId="14" xfId="127" applyFont="1" applyFill="1" applyBorder="1" applyAlignment="1">
      <alignment vertical="center"/>
      <protection/>
    </xf>
    <xf numFmtId="0" fontId="2" fillId="18" borderId="15" xfId="127" applyFont="1" applyFill="1" applyBorder="1" applyAlignment="1">
      <alignment vertical="center"/>
      <protection/>
    </xf>
    <xf numFmtId="0" fontId="3" fillId="5" borderId="0" xfId="127" applyFont="1" applyFill="1" applyBorder="1" applyAlignment="1">
      <alignment vertical="center"/>
      <protection/>
    </xf>
    <xf numFmtId="0" fontId="11" fillId="5" borderId="0" xfId="127" applyFont="1" applyFill="1" applyAlignment="1">
      <alignment vertical="center"/>
      <protection/>
    </xf>
    <xf numFmtId="0" fontId="2" fillId="18" borderId="0" xfId="127" applyFont="1" applyFill="1" applyBorder="1" applyAlignment="1">
      <alignment vertical="center"/>
      <protection/>
    </xf>
    <xf numFmtId="0" fontId="11" fillId="18" borderId="0" xfId="127" applyFont="1" applyFill="1" applyBorder="1" applyAlignment="1">
      <alignment vertical="center"/>
      <protection/>
    </xf>
    <xf numFmtId="0" fontId="15" fillId="18" borderId="0" xfId="127" applyFont="1" applyFill="1" applyBorder="1" applyAlignment="1">
      <alignment horizontal="left" vertical="center"/>
      <protection/>
    </xf>
    <xf numFmtId="0" fontId="14" fillId="18" borderId="0" xfId="127" applyFont="1" applyFill="1" applyBorder="1" applyAlignment="1">
      <alignment vertical="center"/>
      <protection/>
    </xf>
    <xf numFmtId="0" fontId="16" fillId="5" borderId="0" xfId="127" applyFont="1" applyFill="1" applyBorder="1" applyAlignment="1">
      <alignment vertical="center"/>
      <protection/>
    </xf>
    <xf numFmtId="0" fontId="14" fillId="18" borderId="16" xfId="127" applyFont="1" applyFill="1" applyBorder="1" applyAlignment="1">
      <alignment vertical="center"/>
      <protection/>
    </xf>
    <xf numFmtId="0" fontId="14" fillId="18" borderId="17" xfId="127" applyFont="1" applyFill="1" applyBorder="1" applyAlignment="1">
      <alignment vertical="center"/>
      <protection/>
    </xf>
    <xf numFmtId="0" fontId="11" fillId="18" borderId="18" xfId="127" applyFont="1" applyFill="1" applyBorder="1">
      <alignment/>
      <protection/>
    </xf>
    <xf numFmtId="0" fontId="2" fillId="18" borderId="19" xfId="127" applyFont="1" applyFill="1" applyBorder="1" applyAlignment="1">
      <alignment vertical="center"/>
      <protection/>
    </xf>
    <xf numFmtId="0" fontId="11" fillId="18" borderId="19" xfId="127" applyFont="1" applyFill="1" applyBorder="1">
      <alignment/>
      <protection/>
    </xf>
    <xf numFmtId="0" fontId="11" fillId="18" borderId="20" xfId="127" applyFont="1" applyFill="1" applyBorder="1">
      <alignment/>
      <protection/>
    </xf>
    <xf numFmtId="0" fontId="11" fillId="0" borderId="0" xfId="127" applyFont="1" applyFill="1" applyBorder="1">
      <alignment/>
      <protection/>
    </xf>
    <xf numFmtId="0" fontId="1" fillId="5" borderId="0" xfId="131" applyFont="1">
      <alignment/>
      <protection/>
    </xf>
    <xf numFmtId="0" fontId="35" fillId="5" borderId="0" xfId="130" applyFont="1" applyFill="1" applyBorder="1" applyAlignment="1">
      <alignment/>
      <protection/>
    </xf>
    <xf numFmtId="0" fontId="0" fillId="5" borderId="0" xfId="131">
      <alignment/>
      <protection/>
    </xf>
    <xf numFmtId="0" fontId="1" fillId="0" borderId="0" xfId="131" applyFont="1" applyFill="1" applyAlignment="1">
      <alignment/>
      <protection/>
    </xf>
    <xf numFmtId="167" fontId="2" fillId="5" borderId="0" xfId="131" applyNumberFormat="1" applyFont="1" applyBorder="1" applyAlignment="1">
      <alignment horizontal="left"/>
      <protection/>
    </xf>
    <xf numFmtId="49" fontId="0" fillId="5" borderId="0" xfId="131" applyNumberFormat="1" applyFont="1">
      <alignment/>
      <protection/>
    </xf>
    <xf numFmtId="2" fontId="0" fillId="5" borderId="0" xfId="131" applyNumberFormat="1" applyFont="1" applyBorder="1">
      <alignment/>
      <protection/>
    </xf>
    <xf numFmtId="164" fontId="0" fillId="5" borderId="0" xfId="131" applyNumberFormat="1" applyFont="1" applyBorder="1" applyAlignment="1">
      <alignment horizontal="center"/>
      <protection/>
    </xf>
    <xf numFmtId="164" fontId="0" fillId="5" borderId="0" xfId="131" applyNumberFormat="1" applyFont="1" applyBorder="1">
      <alignment/>
      <protection/>
    </xf>
    <xf numFmtId="0" fontId="0" fillId="5" borderId="0" xfId="131" applyFont="1">
      <alignment/>
      <protection/>
    </xf>
    <xf numFmtId="168" fontId="36" fillId="17" borderId="10" xfId="131" applyNumberFormat="1" applyFont="1" applyFill="1" applyBorder="1" applyAlignment="1" quotePrefix="1">
      <alignment horizontal="center" vertical="center" wrapText="1"/>
      <protection/>
    </xf>
    <xf numFmtId="49" fontId="36" fillId="17" borderId="10" xfId="131" applyNumberFormat="1" applyFont="1" applyFill="1" applyBorder="1" applyAlignment="1">
      <alignment horizontal="center" vertical="center" wrapText="1"/>
      <protection/>
    </xf>
    <xf numFmtId="2" fontId="36" fillId="17" borderId="10" xfId="131" applyNumberFormat="1" applyFont="1" applyFill="1" applyBorder="1" applyAlignment="1">
      <alignment horizontal="center" vertical="center" wrapText="1"/>
      <protection/>
    </xf>
    <xf numFmtId="167" fontId="10" fillId="17" borderId="10" xfId="131" applyNumberFormat="1" applyFont="1" applyFill="1" applyBorder="1" applyAlignment="1">
      <alignment horizontal="left"/>
      <protection/>
    </xf>
    <xf numFmtId="2" fontId="10" fillId="17" borderId="10" xfId="73" applyNumberFormat="1" applyFont="1" applyFill="1" applyBorder="1" applyAlignment="1">
      <alignment horizontal="center"/>
    </xf>
    <xf numFmtId="0" fontId="10" fillId="17" borderId="10" xfId="131" applyFont="1" applyFill="1" applyBorder="1">
      <alignment/>
      <protection/>
    </xf>
    <xf numFmtId="49" fontId="10" fillId="17" borderId="10" xfId="131" applyNumberFormat="1" applyFont="1" applyFill="1" applyBorder="1">
      <alignment/>
      <protection/>
    </xf>
    <xf numFmtId="49" fontId="10" fillId="17" borderId="10" xfId="131" applyNumberFormat="1" applyFont="1" applyFill="1" applyBorder="1" applyAlignment="1">
      <alignment horizontal="left"/>
      <protection/>
    </xf>
    <xf numFmtId="49" fontId="10" fillId="19" borderId="10" xfId="131" applyNumberFormat="1" applyFont="1" applyFill="1" applyBorder="1">
      <alignment/>
      <protection/>
    </xf>
    <xf numFmtId="49" fontId="10" fillId="17" borderId="10" xfId="131" applyNumberFormat="1" applyFont="1" applyFill="1" applyBorder="1" applyAlignment="1">
      <alignment horizontal="left" wrapText="1"/>
      <protection/>
    </xf>
    <xf numFmtId="167" fontId="0" fillId="17" borderId="10" xfId="131" applyNumberFormat="1" applyFont="1" applyFill="1" applyBorder="1" applyAlignment="1">
      <alignment horizontal="left"/>
      <protection/>
    </xf>
    <xf numFmtId="0" fontId="2" fillId="5" borderId="0" xfId="131" applyFont="1">
      <alignment/>
      <protection/>
    </xf>
    <xf numFmtId="0" fontId="39" fillId="5" borderId="0" xfId="131" applyFont="1">
      <alignment/>
      <protection/>
    </xf>
    <xf numFmtId="167" fontId="10" fillId="17" borderId="21" xfId="73" applyNumberFormat="1" applyFont="1" applyFill="1" applyBorder="1" applyAlignment="1">
      <alignment horizontal="center" vertical="center"/>
    </xf>
    <xf numFmtId="0" fontId="3" fillId="5" borderId="0" xfId="131" applyFont="1">
      <alignment/>
      <protection/>
    </xf>
    <xf numFmtId="39" fontId="0" fillId="5" borderId="0" xfId="131" applyNumberFormat="1" applyFont="1">
      <alignment/>
      <protection/>
    </xf>
    <xf numFmtId="0" fontId="5" fillId="17" borderId="22" xfId="131" applyFont="1" applyFill="1" applyBorder="1" applyAlignment="1">
      <alignment horizontal="left" indent="1"/>
      <protection/>
    </xf>
    <xf numFmtId="0" fontId="0" fillId="17" borderId="23" xfId="131" applyFont="1" applyFill="1" applyBorder="1" applyAlignment="1">
      <alignment/>
      <protection/>
    </xf>
    <xf numFmtId="0" fontId="0" fillId="17" borderId="23" xfId="131" applyFont="1" applyFill="1" applyBorder="1">
      <alignment/>
      <protection/>
    </xf>
    <xf numFmtId="0" fontId="0" fillId="17" borderId="24" xfId="131" applyFont="1" applyFill="1" applyBorder="1">
      <alignment/>
      <protection/>
    </xf>
    <xf numFmtId="0" fontId="4" fillId="17" borderId="16" xfId="131" applyFont="1" applyFill="1" applyBorder="1" applyAlignment="1">
      <alignment horizontal="left" indent="1"/>
      <protection/>
    </xf>
    <xf numFmtId="0" fontId="10" fillId="17" borderId="0" xfId="131" applyFont="1" applyFill="1" applyBorder="1" applyAlignment="1">
      <alignment horizontal="right" indent="1"/>
      <protection/>
    </xf>
    <xf numFmtId="0" fontId="10" fillId="17" borderId="17" xfId="131" applyFont="1" applyFill="1" applyBorder="1" applyAlignment="1" applyProtection="1">
      <alignment/>
      <protection locked="0"/>
    </xf>
    <xf numFmtId="0" fontId="10" fillId="17" borderId="0" xfId="131" applyFont="1" applyFill="1" applyBorder="1">
      <alignment/>
      <protection/>
    </xf>
    <xf numFmtId="0" fontId="0" fillId="4" borderId="25" xfId="131" applyFont="1" applyFill="1" applyBorder="1" applyAlignment="1" applyProtection="1">
      <alignment horizontal="left"/>
      <protection locked="0"/>
    </xf>
    <xf numFmtId="0" fontId="0" fillId="17" borderId="0" xfId="131" applyFont="1" applyFill="1" applyBorder="1">
      <alignment/>
      <protection/>
    </xf>
    <xf numFmtId="0" fontId="0" fillId="17" borderId="17" xfId="131" applyFont="1" applyFill="1" applyBorder="1" applyProtection="1">
      <alignment/>
      <protection locked="0"/>
    </xf>
    <xf numFmtId="0" fontId="0" fillId="17" borderId="17" xfId="131" applyFont="1" applyFill="1" applyBorder="1">
      <alignment/>
      <protection/>
    </xf>
    <xf numFmtId="0" fontId="0" fillId="17" borderId="17" xfId="131" applyFont="1" applyFill="1" applyBorder="1" applyAlignment="1" applyProtection="1">
      <alignment/>
      <protection locked="0"/>
    </xf>
    <xf numFmtId="0" fontId="5" fillId="17" borderId="16" xfId="131" applyFont="1" applyFill="1" applyBorder="1" applyAlignment="1">
      <alignment horizontal="left" indent="1"/>
      <protection/>
    </xf>
    <xf numFmtId="0" fontId="5" fillId="17" borderId="18" xfId="131" applyFont="1" applyFill="1" applyBorder="1" applyAlignment="1">
      <alignment horizontal="left" indent="1"/>
      <protection/>
    </xf>
    <xf numFmtId="0" fontId="0" fillId="17" borderId="19" xfId="131" applyFont="1" applyFill="1" applyBorder="1" applyAlignment="1">
      <alignment/>
      <protection/>
    </xf>
    <xf numFmtId="0" fontId="0" fillId="17" borderId="19" xfId="131" applyFont="1" applyFill="1" applyBorder="1">
      <alignment/>
      <protection/>
    </xf>
    <xf numFmtId="0" fontId="0" fillId="17" borderId="20" xfId="131" applyFont="1" applyFill="1" applyBorder="1">
      <alignment/>
      <protection/>
    </xf>
    <xf numFmtId="0" fontId="0" fillId="5" borderId="0" xfId="134">
      <alignment/>
      <protection/>
    </xf>
    <xf numFmtId="0" fontId="1" fillId="5" borderId="0" xfId="134" applyFont="1" applyAlignment="1">
      <alignment/>
      <protection/>
    </xf>
    <xf numFmtId="49" fontId="0" fillId="5" borderId="0" xfId="134" applyNumberFormat="1" applyFont="1">
      <alignment/>
      <protection/>
    </xf>
    <xf numFmtId="164" fontId="0" fillId="5" borderId="0" xfId="134" applyNumberFormat="1" applyFont="1" applyBorder="1">
      <alignment/>
      <protection/>
    </xf>
    <xf numFmtId="167" fontId="3" fillId="5" borderId="0" xfId="134" applyNumberFormat="1" applyFont="1" applyBorder="1" applyAlignment="1">
      <alignment horizontal="left"/>
      <protection/>
    </xf>
    <xf numFmtId="49" fontId="36" fillId="17" borderId="10" xfId="134" applyNumberFormat="1" applyFont="1" applyFill="1" applyBorder="1" applyAlignment="1">
      <alignment horizontal="center" vertical="center" wrapText="1"/>
      <protection/>
    </xf>
    <xf numFmtId="164" fontId="36" fillId="17" borderId="10" xfId="134" applyNumberFormat="1" applyFont="1" applyFill="1" applyBorder="1" applyAlignment="1">
      <alignment horizontal="center" vertical="center" wrapText="1"/>
      <protection/>
    </xf>
    <xf numFmtId="49" fontId="36" fillId="17" borderId="10" xfId="134" applyNumberFormat="1" applyFont="1" applyFill="1" applyBorder="1" applyAlignment="1">
      <alignment horizontal="center"/>
      <protection/>
    </xf>
    <xf numFmtId="2" fontId="10" fillId="17" borderId="10" xfId="73" applyNumberFormat="1" applyFont="1" applyFill="1" applyBorder="1" applyAlignment="1">
      <alignment horizontal="center" wrapText="1"/>
    </xf>
    <xf numFmtId="171" fontId="0" fillId="4" borderId="10" xfId="134" applyNumberFormat="1" applyFont="1" applyFill="1" applyBorder="1">
      <alignment/>
      <protection/>
    </xf>
    <xf numFmtId="171" fontId="0" fillId="4" borderId="10" xfId="134" applyNumberFormat="1" applyFont="1" applyFill="1" applyBorder="1" applyAlignment="1">
      <alignment horizontal="right" wrapText="1"/>
      <protection/>
    </xf>
    <xf numFmtId="168" fontId="36" fillId="17" borderId="10" xfId="137" applyNumberFormat="1" applyFont="1" applyFill="1" applyBorder="1" applyAlignment="1">
      <alignment horizontal="center" vertical="center" wrapText="1"/>
      <protection/>
    </xf>
    <xf numFmtId="49" fontId="36" fillId="17" borderId="10" xfId="137" applyNumberFormat="1" applyFont="1" applyFill="1" applyBorder="1" applyAlignment="1">
      <alignment horizontal="center" vertical="center" wrapText="1"/>
      <protection/>
    </xf>
    <xf numFmtId="168" fontId="10" fillId="17" borderId="10" xfId="0" applyNumberFormat="1" applyFont="1" applyFill="1" applyBorder="1" applyAlignment="1">
      <alignment horizontal="left" vertical="center" wrapText="1"/>
    </xf>
    <xf numFmtId="168" fontId="10" fillId="19" borderId="0" xfId="0" applyNumberFormat="1" applyFont="1" applyFill="1" applyBorder="1" applyAlignment="1">
      <alignment horizontal="left" vertical="center" wrapText="1"/>
    </xf>
    <xf numFmtId="167" fontId="0" fillId="7" borderId="10" xfId="137" applyNumberFormat="1" applyFont="1" applyFill="1" applyBorder="1" applyAlignment="1">
      <alignment horizontal="right"/>
      <protection/>
    </xf>
    <xf numFmtId="0" fontId="36" fillId="7" borderId="11" xfId="134" applyFont="1" applyFill="1" applyBorder="1" applyAlignment="1">
      <alignment horizontal="right"/>
      <protection/>
    </xf>
    <xf numFmtId="167" fontId="0" fillId="4" borderId="26" xfId="131" applyNumberFormat="1" applyFont="1" applyFill="1" applyBorder="1" applyAlignment="1">
      <alignment horizontal="center"/>
      <protection/>
    </xf>
    <xf numFmtId="49" fontId="36" fillId="17" borderId="27" xfId="131" applyNumberFormat="1" applyFont="1" applyFill="1" applyBorder="1" applyAlignment="1">
      <alignment horizontal="center" vertical="center" wrapText="1"/>
      <protection/>
    </xf>
    <xf numFmtId="168" fontId="10" fillId="17" borderId="10" xfId="131" applyNumberFormat="1" applyFont="1" applyFill="1" applyBorder="1" applyAlignment="1" quotePrefix="1">
      <alignment vertical="center" wrapText="1"/>
      <protection/>
    </xf>
    <xf numFmtId="168" fontId="10" fillId="17" borderId="10" xfId="131" applyNumberFormat="1" applyFont="1" applyFill="1" applyBorder="1" applyAlignment="1" quotePrefix="1">
      <alignment horizontal="left" vertical="center" wrapText="1"/>
      <protection/>
    </xf>
    <xf numFmtId="0" fontId="36" fillId="17" borderId="10" xfId="131" applyFont="1" applyFill="1" applyBorder="1">
      <alignment/>
      <protection/>
    </xf>
    <xf numFmtId="49" fontId="36" fillId="17" borderId="10" xfId="131" applyNumberFormat="1" applyFont="1" applyFill="1" applyBorder="1" applyAlignment="1">
      <alignment horizontal="left"/>
      <protection/>
    </xf>
    <xf numFmtId="49" fontId="36" fillId="17" borderId="21" xfId="134" applyNumberFormat="1" applyFont="1" applyFill="1" applyBorder="1" applyAlignment="1">
      <alignment horizontal="center"/>
      <protection/>
    </xf>
    <xf numFmtId="0" fontId="0" fillId="20" borderId="0" xfId="131" applyFont="1" applyFill="1">
      <alignment/>
      <protection/>
    </xf>
    <xf numFmtId="49" fontId="36" fillId="17" borderId="10" xfId="13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37" applyNumberFormat="1" applyFont="1" applyFill="1" applyBorder="1" applyAlignment="1">
      <alignment horizontal="center" vertical="center" wrapText="1"/>
      <protection/>
    </xf>
    <xf numFmtId="0" fontId="0" fillId="20" borderId="0" xfId="0" applyFont="1" applyFill="1" applyAlignment="1">
      <alignment/>
    </xf>
    <xf numFmtId="43" fontId="0" fillId="4" borderId="10" xfId="73" applyFont="1" applyFill="1" applyBorder="1" applyAlignment="1">
      <alignment horizontal="right"/>
    </xf>
    <xf numFmtId="43" fontId="0" fillId="7" borderId="10" xfId="73" applyFont="1" applyFill="1" applyBorder="1" applyAlignment="1">
      <alignment horizontal="right"/>
    </xf>
    <xf numFmtId="167" fontId="0" fillId="4" borderId="26" xfId="131" applyNumberFormat="1" applyFont="1" applyFill="1" applyBorder="1" applyAlignment="1">
      <alignment horizontal="right"/>
      <protection/>
    </xf>
    <xf numFmtId="0" fontId="62" fillId="5" borderId="0" xfId="129"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0" xfId="134" applyNumberFormat="1" applyFont="1" applyFill="1" applyBorder="1" applyAlignment="1">
      <alignment horizontal="left" vertical="center" wrapText="1"/>
      <protection/>
    </xf>
    <xf numFmtId="49" fontId="10" fillId="17" borderId="10" xfId="134" applyNumberFormat="1" applyFont="1" applyFill="1" applyBorder="1" applyAlignment="1">
      <alignment horizontal="left" vertical="center" wrapText="1"/>
      <protection/>
    </xf>
    <xf numFmtId="49" fontId="10" fillId="17" borderId="10" xfId="137" applyNumberFormat="1" applyFont="1" applyFill="1" applyBorder="1" applyAlignment="1">
      <alignment horizontal="left" vertical="center" wrapText="1"/>
      <protection/>
    </xf>
    <xf numFmtId="49" fontId="10" fillId="17" borderId="21" xfId="134" applyNumberFormat="1" applyFont="1" applyFill="1" applyBorder="1" applyAlignment="1">
      <alignment horizontal="center"/>
      <protection/>
    </xf>
    <xf numFmtId="168" fontId="36" fillId="17" borderId="10" xfId="132" applyNumberFormat="1" applyFont="1" applyFill="1" applyBorder="1" applyAlignment="1" quotePrefix="1">
      <alignment horizontal="center" vertical="center" wrapText="1"/>
      <protection/>
    </xf>
    <xf numFmtId="167" fontId="5" fillId="17" borderId="10" xfId="132" applyNumberFormat="1" applyFont="1" applyFill="1" applyBorder="1" applyAlignment="1">
      <alignment horizontal="left"/>
      <protection/>
    </xf>
    <xf numFmtId="2" fontId="36" fillId="17" borderId="29" xfId="132" applyNumberFormat="1" applyFont="1" applyFill="1" applyBorder="1" applyAlignment="1">
      <alignment horizontal="center" vertical="center" wrapText="1"/>
      <protection/>
    </xf>
    <xf numFmtId="41" fontId="4" fillId="17" borderId="10" xfId="132" applyNumberFormat="1" applyFont="1" applyFill="1" applyBorder="1">
      <alignment/>
      <protection/>
    </xf>
    <xf numFmtId="41" fontId="10" fillId="17" borderId="11" xfId="132" applyNumberFormat="1" applyFont="1" applyFill="1" applyBorder="1" applyAlignment="1">
      <alignment/>
      <protection/>
    </xf>
    <xf numFmtId="41" fontId="10" fillId="17" borderId="11" xfId="132" applyNumberFormat="1" applyFont="1" applyFill="1" applyBorder="1">
      <alignment/>
      <protection/>
    </xf>
    <xf numFmtId="41" fontId="10" fillId="19" borderId="10" xfId="132" applyNumberFormat="1" applyFont="1" applyFill="1" applyBorder="1">
      <alignment/>
      <protection/>
    </xf>
    <xf numFmtId="41" fontId="4" fillId="17" borderId="11" xfId="132"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63" fillId="23" borderId="0" xfId="0" applyNumberFormat="1" applyFont="1" applyFill="1" applyAlignment="1">
      <alignment/>
    </xf>
    <xf numFmtId="167" fontId="0" fillId="4" borderId="28" xfId="137" applyNumberFormat="1" applyFont="1" applyFill="1" applyBorder="1" applyAlignment="1">
      <alignment vertical="top"/>
      <protection/>
    </xf>
    <xf numFmtId="49" fontId="10" fillId="17" borderId="10" xfId="135" applyNumberFormat="1" applyFont="1" applyFill="1" applyBorder="1" applyAlignment="1">
      <alignment horizontal="left" vertical="center" wrapText="1"/>
      <protection/>
    </xf>
    <xf numFmtId="49" fontId="36" fillId="17" borderId="0" xfId="137" applyNumberFormat="1" applyFont="1" applyFill="1" applyBorder="1" applyAlignment="1">
      <alignment horizontal="center" vertical="center" wrapText="1"/>
      <protection/>
    </xf>
    <xf numFmtId="0" fontId="64" fillId="24" borderId="13" xfId="127" applyFont="1" applyFill="1" applyBorder="1">
      <alignment/>
      <protection/>
    </xf>
    <xf numFmtId="0" fontId="64" fillId="24" borderId="14" xfId="127" applyFont="1" applyFill="1" applyBorder="1">
      <alignment/>
      <protection/>
    </xf>
    <xf numFmtId="0" fontId="64" fillId="24" borderId="15" xfId="127" applyFont="1" applyFill="1" applyBorder="1">
      <alignment/>
      <protection/>
    </xf>
    <xf numFmtId="0" fontId="64" fillId="24" borderId="30" xfId="127" applyFont="1" applyFill="1" applyBorder="1">
      <alignment/>
      <protection/>
    </xf>
    <xf numFmtId="0" fontId="65" fillId="24" borderId="0" xfId="127" applyFont="1" applyFill="1" applyBorder="1" applyAlignment="1">
      <alignment horizontal="center" vertical="center"/>
      <protection/>
    </xf>
    <xf numFmtId="0" fontId="64" fillId="24" borderId="0" xfId="127" applyFont="1" applyFill="1" applyBorder="1" applyAlignment="1">
      <alignment horizontal="center" vertical="center"/>
      <protection/>
    </xf>
    <xf numFmtId="0" fontId="64" fillId="24" borderId="31" xfId="127" applyFont="1" applyFill="1" applyBorder="1" applyAlignment="1">
      <alignment vertical="center"/>
      <protection/>
    </xf>
    <xf numFmtId="0" fontId="64" fillId="24" borderId="0" xfId="127" applyFont="1" applyFill="1" applyBorder="1">
      <alignment/>
      <protection/>
    </xf>
    <xf numFmtId="0" fontId="66" fillId="24" borderId="0" xfId="127" applyFont="1" applyFill="1" applyBorder="1">
      <alignment/>
      <protection/>
    </xf>
    <xf numFmtId="0" fontId="67" fillId="24" borderId="0" xfId="98" applyFont="1" applyFill="1" applyBorder="1" applyAlignment="1" applyProtection="1">
      <alignment/>
      <protection/>
    </xf>
    <xf numFmtId="0" fontId="11" fillId="5" borderId="0" xfId="127" applyFont="1" applyBorder="1" applyAlignment="1">
      <alignment vertical="center"/>
      <protection/>
    </xf>
    <xf numFmtId="0" fontId="0" fillId="5" borderId="0" xfId="127" applyFill="1" applyBorder="1">
      <alignment/>
      <protection/>
    </xf>
    <xf numFmtId="0" fontId="0" fillId="5" borderId="0" xfId="129" applyFont="1">
      <alignment/>
      <protection/>
    </xf>
    <xf numFmtId="0" fontId="0" fillId="4" borderId="26" xfId="131" applyNumberFormat="1" applyFont="1" applyFill="1" applyBorder="1" applyAlignment="1">
      <alignment horizontal="center"/>
      <protection/>
    </xf>
    <xf numFmtId="2" fontId="0" fillId="4" borderId="26" xfId="131" applyNumberFormat="1" applyFont="1" applyFill="1" applyBorder="1" applyAlignment="1">
      <alignment horizontal="center"/>
      <protection/>
    </xf>
    <xf numFmtId="0" fontId="42" fillId="25" borderId="0" xfId="131" applyFont="1" applyFill="1">
      <alignment/>
      <protection/>
    </xf>
    <xf numFmtId="0" fontId="43" fillId="25" borderId="0" xfId="131" applyFont="1" applyFill="1">
      <alignment/>
      <protection/>
    </xf>
    <xf numFmtId="14" fontId="42" fillId="25" borderId="0" xfId="131" applyNumberFormat="1" applyFont="1" applyFill="1">
      <alignment/>
      <protection/>
    </xf>
    <xf numFmtId="14" fontId="42" fillId="25" borderId="0" xfId="131" applyNumberFormat="1" applyFont="1" applyFill="1" applyAlignment="1">
      <alignment horizontal="left"/>
      <protection/>
    </xf>
    <xf numFmtId="168" fontId="44" fillId="17" borderId="10" xfId="131" applyNumberFormat="1" applyFont="1" applyFill="1" applyBorder="1" applyAlignment="1" quotePrefix="1">
      <alignment horizontal="left" vertical="center" wrapText="1"/>
      <protection/>
    </xf>
    <xf numFmtId="167" fontId="0" fillId="4" borderId="10" xfId="131" applyNumberFormat="1" applyFont="1" applyFill="1" applyBorder="1" applyAlignment="1">
      <alignment horizontal="center"/>
      <protection/>
    </xf>
    <xf numFmtId="0" fontId="43" fillId="25" borderId="10" xfId="131" applyFont="1" applyFill="1" applyBorder="1">
      <alignment/>
      <protection/>
    </xf>
    <xf numFmtId="167" fontId="0" fillId="4" borderId="10" xfId="131" applyNumberFormat="1" applyFont="1" applyFill="1" applyBorder="1" applyAlignment="1">
      <alignment horizontal="left"/>
      <protection/>
    </xf>
    <xf numFmtId="168" fontId="10" fillId="17" borderId="10" xfId="131" applyNumberFormat="1" applyFont="1" applyFill="1" applyBorder="1" applyAlignment="1" quotePrefix="1">
      <alignment horizontal="right" vertical="center" wrapText="1"/>
      <protection/>
    </xf>
    <xf numFmtId="10" fontId="0" fillId="4" borderId="10" xfId="134" applyNumberFormat="1" applyFont="1" applyFill="1" applyBorder="1" applyAlignment="1">
      <alignment horizontal="right"/>
      <protection/>
    </xf>
    <xf numFmtId="164" fontId="36" fillId="17" borderId="10" xfId="134"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0" xfId="134" applyNumberFormat="1" applyFont="1" applyFill="1" applyBorder="1">
      <alignment/>
      <protection/>
    </xf>
    <xf numFmtId="43" fontId="0" fillId="7" borderId="10" xfId="73" applyFont="1" applyFill="1" applyBorder="1" applyAlignment="1">
      <alignment/>
    </xf>
    <xf numFmtId="49" fontId="36" fillId="17" borderId="10" xfId="134" applyNumberFormat="1" applyFont="1" applyFill="1" applyBorder="1" applyAlignment="1">
      <alignment horizontal="right" vertical="center" wrapText="1"/>
      <protection/>
    </xf>
    <xf numFmtId="10" fontId="0" fillId="4" borderId="10" xfId="134" applyNumberFormat="1" applyFont="1" applyFill="1" applyBorder="1" applyAlignment="1">
      <alignment/>
      <protection/>
    </xf>
    <xf numFmtId="0" fontId="0" fillId="5" borderId="0" xfId="134" applyFont="1">
      <alignment/>
      <protection/>
    </xf>
    <xf numFmtId="0" fontId="0" fillId="4" borderId="10" xfId="73" applyNumberFormat="1" applyFont="1" applyFill="1" applyBorder="1" applyAlignment="1">
      <alignment/>
    </xf>
    <xf numFmtId="0" fontId="10" fillId="17" borderId="10" xfId="132" applyNumberFormat="1" applyFont="1" applyFill="1" applyBorder="1" applyAlignment="1">
      <alignment horizontal="left"/>
      <protection/>
    </xf>
    <xf numFmtId="0" fontId="0" fillId="17" borderId="10" xfId="132" applyNumberFormat="1" applyFont="1" applyFill="1" applyBorder="1" applyAlignment="1">
      <alignment horizontal="left"/>
      <protection/>
    </xf>
    <xf numFmtId="49" fontId="36" fillId="17" borderId="10" xfId="134" applyNumberFormat="1" applyFont="1" applyFill="1" applyBorder="1" applyAlignment="1">
      <alignment horizontal="left" wrapText="1"/>
      <protection/>
    </xf>
    <xf numFmtId="167" fontId="68" fillId="17" borderId="10" xfId="13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71" fontId="0" fillId="25" borderId="10" xfId="134" applyNumberFormat="1" applyFont="1" applyFill="1" applyBorder="1">
      <alignment/>
      <protection/>
    </xf>
    <xf numFmtId="0" fontId="0" fillId="20" borderId="0" xfId="133" applyFont="1" applyFill="1" applyBorder="1" applyAlignment="1">
      <alignment vertical="center"/>
      <protection/>
    </xf>
    <xf numFmtId="14" fontId="0" fillId="4" borderId="26" xfId="131" applyNumberFormat="1" applyFont="1" applyFill="1" applyBorder="1" applyAlignment="1">
      <alignment horizontal="center"/>
      <protection/>
    </xf>
    <xf numFmtId="49" fontId="10" fillId="17" borderId="10" xfId="131" applyNumberFormat="1" applyFont="1" applyFill="1" applyBorder="1" applyAlignment="1">
      <alignment wrapText="1"/>
      <protection/>
    </xf>
    <xf numFmtId="171" fontId="0" fillId="21" borderId="10" xfId="134"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8" fillId="17" borderId="0" xfId="129" applyFont="1" applyFill="1" applyBorder="1">
      <alignment/>
      <protection/>
    </xf>
    <xf numFmtId="0" fontId="9" fillId="17" borderId="0" xfId="129" applyFont="1" applyFill="1" applyBorder="1">
      <alignment/>
      <protection/>
    </xf>
    <xf numFmtId="2" fontId="36" fillId="17" borderId="28" xfId="132" applyNumberFormat="1" applyFont="1" applyFill="1" applyBorder="1" applyAlignment="1">
      <alignment horizontal="center" vertical="center" wrapText="1"/>
      <protection/>
    </xf>
    <xf numFmtId="0" fontId="0" fillId="5" borderId="0" xfId="131" applyFont="1">
      <alignment/>
      <protection/>
    </xf>
    <xf numFmtId="0" fontId="0" fillId="5" borderId="0" xfId="0" applyFill="1" applyAlignment="1" applyProtection="1">
      <alignment/>
      <protection locked="0"/>
    </xf>
    <xf numFmtId="0" fontId="3" fillId="5" borderId="0" xfId="0" applyFont="1" applyFill="1" applyBorder="1" applyAlignment="1" applyProtection="1">
      <alignment horizontal="left"/>
      <protection locked="0"/>
    </xf>
    <xf numFmtId="0" fontId="47" fillId="20" borderId="0" xfId="0" applyFont="1" applyFill="1" applyBorder="1" applyAlignment="1" applyProtection="1">
      <alignment horizontal="right"/>
      <protection locked="0"/>
    </xf>
    <xf numFmtId="0" fontId="2" fillId="20" borderId="0" xfId="0" applyFont="1" applyFill="1" applyBorder="1" applyAlignment="1" applyProtection="1">
      <alignment horizontal="center"/>
      <protection locked="0"/>
    </xf>
    <xf numFmtId="0" fontId="47" fillId="20" borderId="0" xfId="0" applyFont="1" applyFill="1" applyBorder="1" applyAlignment="1" applyProtection="1">
      <alignment horizontal="center"/>
      <protection locked="0"/>
    </xf>
    <xf numFmtId="10" fontId="0" fillId="27" borderId="10" xfId="134" applyNumberFormat="1" applyFont="1" applyFill="1" applyBorder="1" applyAlignment="1">
      <alignment horizontal="right"/>
      <protection/>
    </xf>
    <xf numFmtId="49" fontId="10" fillId="27" borderId="10" xfId="131" applyNumberFormat="1" applyFont="1" applyFill="1" applyBorder="1">
      <alignment/>
      <protection/>
    </xf>
    <xf numFmtId="0" fontId="0" fillId="20" borderId="0" xfId="0" applyFill="1" applyBorder="1" applyAlignment="1">
      <alignment/>
    </xf>
    <xf numFmtId="0" fontId="2" fillId="28" borderId="10" xfId="0" applyFont="1" applyFill="1" applyBorder="1" applyAlignment="1" applyProtection="1">
      <alignment horizontal="center"/>
      <protection locked="0"/>
    </xf>
    <xf numFmtId="0" fontId="47" fillId="28" borderId="10" xfId="0" applyFont="1" applyFill="1" applyBorder="1" applyAlignment="1" applyProtection="1">
      <alignment horizontal="right"/>
      <protection locked="0"/>
    </xf>
    <xf numFmtId="49" fontId="36" fillId="17" borderId="10" xfId="131" applyNumberFormat="1" applyFont="1" applyFill="1" applyBorder="1" applyAlignment="1">
      <alignment horizontal="center"/>
      <protection/>
    </xf>
    <xf numFmtId="0" fontId="0" fillId="21" borderId="10" xfId="0" applyFill="1" applyBorder="1" applyAlignment="1">
      <alignment/>
    </xf>
    <xf numFmtId="0" fontId="0" fillId="21" borderId="10" xfId="0" applyFont="1" applyFill="1" applyBorder="1" applyAlignment="1">
      <alignment/>
    </xf>
    <xf numFmtId="0" fontId="0" fillId="21" borderId="10" xfId="0" applyFont="1" applyFill="1" applyBorder="1" applyAlignment="1">
      <alignment horizontal="center"/>
    </xf>
    <xf numFmtId="0" fontId="47" fillId="20" borderId="0" xfId="0" applyFont="1" applyFill="1" applyBorder="1" applyAlignment="1" applyProtection="1">
      <alignment horizontal="right" vertical="top" wrapText="1"/>
      <protection locked="0"/>
    </xf>
    <xf numFmtId="10" fontId="0" fillId="21" borderId="10" xfId="142" applyNumberFormat="1" applyFont="1" applyFill="1" applyBorder="1" applyAlignment="1">
      <alignment/>
    </xf>
    <xf numFmtId="49" fontId="10" fillId="17" borderId="11" xfId="131" applyNumberFormat="1" applyFont="1" applyFill="1" applyBorder="1">
      <alignment/>
      <protection/>
    </xf>
    <xf numFmtId="0" fontId="0" fillId="5" borderId="0" xfId="134" applyFont="1">
      <alignment/>
      <protection/>
    </xf>
    <xf numFmtId="0" fontId="0" fillId="0" borderId="0" xfId="0" applyFont="1" applyAlignment="1">
      <alignment horizontal="center" vertical="center" wrapText="1"/>
    </xf>
    <xf numFmtId="182" fontId="36" fillId="17" borderId="10" xfId="75" applyNumberFormat="1" applyFont="1" applyFill="1" applyBorder="1" applyAlignment="1" quotePrefix="1">
      <alignment horizontal="center" vertical="center" wrapText="1"/>
    </xf>
    <xf numFmtId="187" fontId="36" fillId="17" borderId="10" xfId="132" applyNumberFormat="1" applyFont="1" applyFill="1" applyBorder="1" applyAlignment="1" quotePrefix="1">
      <alignment horizontal="center" vertical="center" wrapText="1"/>
      <protection/>
    </xf>
    <xf numFmtId="2" fontId="36" fillId="17" borderId="10" xfId="132" applyNumberFormat="1" applyFont="1" applyFill="1" applyBorder="1" applyAlignment="1">
      <alignment horizontal="center" vertical="center" wrapText="1"/>
      <protection/>
    </xf>
    <xf numFmtId="166" fontId="0" fillId="4" borderId="10" xfId="73" applyNumberFormat="1" applyFont="1" applyFill="1" applyBorder="1" applyAlignment="1">
      <alignment/>
    </xf>
    <xf numFmtId="166" fontId="38" fillId="7" borderId="10" xfId="73" applyNumberFormat="1" applyFont="1" applyFill="1" applyBorder="1" applyAlignment="1">
      <alignment/>
    </xf>
    <xf numFmtId="166" fontId="37" fillId="7" borderId="10" xfId="73" applyNumberFormat="1" applyFont="1" applyFill="1" applyBorder="1" applyAlignment="1">
      <alignment/>
    </xf>
    <xf numFmtId="166" fontId="0" fillId="4" borderId="26" xfId="131" applyNumberFormat="1" applyFont="1" applyFill="1" applyBorder="1" applyAlignment="1">
      <alignment horizontal="right"/>
      <protection/>
    </xf>
    <xf numFmtId="166" fontId="2" fillId="7" borderId="10" xfId="73" applyNumberFormat="1" applyFont="1" applyFill="1" applyBorder="1" applyAlignment="1">
      <alignment horizontal="right"/>
    </xf>
    <xf numFmtId="0" fontId="0" fillId="0" borderId="0" xfId="119">
      <alignment/>
      <protection/>
    </xf>
    <xf numFmtId="0" fontId="0" fillId="0" borderId="0" xfId="119" applyAlignment="1">
      <alignment horizontal="center"/>
      <protection/>
    </xf>
    <xf numFmtId="0" fontId="0" fillId="26" borderId="0" xfId="119" applyFill="1">
      <alignment/>
      <protection/>
    </xf>
    <xf numFmtId="0" fontId="0" fillId="26" borderId="0" xfId="119" applyFill="1" applyAlignment="1">
      <alignment horizontal="center"/>
      <protection/>
    </xf>
    <xf numFmtId="0" fontId="0" fillId="0" borderId="0" xfId="119" applyAlignment="1">
      <alignment horizontal="center" vertical="center"/>
      <protection/>
    </xf>
    <xf numFmtId="0" fontId="0" fillId="0" borderId="0" xfId="119" applyAlignment="1">
      <alignment vertical="center"/>
      <protection/>
    </xf>
    <xf numFmtId="182" fontId="0" fillId="4" borderId="10" xfId="73" applyNumberFormat="1" applyFont="1" applyFill="1" applyBorder="1" applyAlignment="1">
      <alignment horizontal="right"/>
    </xf>
    <xf numFmtId="0" fontId="0" fillId="0" borderId="0" xfId="119" applyAlignment="1">
      <alignment horizontal="left" vertical="center"/>
      <protection/>
    </xf>
    <xf numFmtId="0" fontId="0" fillId="0" borderId="0" xfId="0" applyFont="1" applyAlignment="1">
      <alignment horizontal="left" vertical="center"/>
    </xf>
    <xf numFmtId="0" fontId="0" fillId="0" borderId="0" xfId="0" applyAlignment="1">
      <alignment horizontal="left" vertical="center"/>
    </xf>
    <xf numFmtId="0" fontId="0" fillId="20" borderId="0" xfId="0" applyFill="1" applyAlignment="1">
      <alignment/>
    </xf>
    <xf numFmtId="0" fontId="0" fillId="20" borderId="0" xfId="0" applyFill="1" applyAlignment="1" applyProtection="1">
      <alignment/>
      <protection locked="0"/>
    </xf>
    <xf numFmtId="0" fontId="0" fillId="20" borderId="0" xfId="0" applyFill="1" applyBorder="1" applyAlignment="1" applyProtection="1">
      <alignment/>
      <protection locked="0"/>
    </xf>
    <xf numFmtId="0" fontId="10" fillId="20" borderId="0" xfId="0" applyFont="1" applyFill="1" applyAlignment="1" applyProtection="1">
      <alignment/>
      <protection locked="0"/>
    </xf>
    <xf numFmtId="0" fontId="10" fillId="20" borderId="0" xfId="0" applyFont="1" applyFill="1" applyBorder="1" applyAlignment="1" applyProtection="1">
      <alignment/>
      <protection locked="0"/>
    </xf>
    <xf numFmtId="0" fontId="2" fillId="20" borderId="0" xfId="0" applyFont="1" applyFill="1" applyBorder="1" applyAlignment="1" applyProtection="1">
      <alignment horizontal="center" vertical="top" wrapText="1"/>
      <protection locked="0"/>
    </xf>
    <xf numFmtId="0" fontId="0" fillId="20" borderId="0" xfId="0" applyFill="1" applyAlignment="1">
      <alignment vertical="top" wrapText="1"/>
    </xf>
    <xf numFmtId="0" fontId="0" fillId="20" borderId="0" xfId="0" applyFill="1" applyAlignment="1">
      <alignment wrapText="1"/>
    </xf>
    <xf numFmtId="0" fontId="0" fillId="20" borderId="0" xfId="0" applyFill="1" applyBorder="1" applyAlignment="1">
      <alignment wrapText="1"/>
    </xf>
    <xf numFmtId="0" fontId="0" fillId="20" borderId="0" xfId="0" applyFill="1" applyBorder="1" applyAlignment="1">
      <alignment vertical="center" wrapText="1"/>
    </xf>
    <xf numFmtId="0" fontId="0" fillId="20" borderId="0" xfId="0" applyFill="1" applyAlignment="1">
      <alignment/>
    </xf>
    <xf numFmtId="0" fontId="0" fillId="20" borderId="0" xfId="0" applyFill="1" applyAlignment="1">
      <alignment horizontal="center"/>
    </xf>
    <xf numFmtId="10" fontId="0" fillId="20" borderId="0" xfId="143" applyNumberFormat="1" applyFill="1" applyAlignment="1">
      <alignment/>
    </xf>
    <xf numFmtId="0" fontId="0" fillId="0" borderId="0" xfId="0" applyFont="1" applyFill="1" applyAlignment="1">
      <alignment vertical="center"/>
    </xf>
    <xf numFmtId="3" fontId="0" fillId="4" borderId="26" xfId="131" applyNumberFormat="1" applyFont="1" applyFill="1" applyBorder="1" applyAlignment="1">
      <alignment horizontal="center"/>
      <protection/>
    </xf>
    <xf numFmtId="166" fontId="0" fillId="21" borderId="10" xfId="87" applyNumberFormat="1" applyFont="1" applyFill="1" applyBorder="1" applyAlignment="1">
      <alignment/>
    </xf>
    <xf numFmtId="166" fontId="49" fillId="29" borderId="10" xfId="73" applyNumberFormat="1" applyFont="1" applyFill="1" applyBorder="1" applyAlignment="1" applyProtection="1">
      <alignment horizontal="right"/>
      <protection locked="0"/>
    </xf>
    <xf numFmtId="166" fontId="0" fillId="29" borderId="10" xfId="87" applyNumberFormat="1" applyFont="1" applyFill="1" applyBorder="1" applyAlignment="1">
      <alignment/>
    </xf>
    <xf numFmtId="166" fontId="47" fillId="28" borderId="10" xfId="0" applyNumberFormat="1" applyFont="1" applyFill="1" applyBorder="1" applyAlignment="1" applyProtection="1">
      <alignment horizontal="right"/>
      <protection locked="0"/>
    </xf>
    <xf numFmtId="166" fontId="10" fillId="17" borderId="10" xfId="131" applyNumberFormat="1" applyFont="1" applyFill="1" applyBorder="1">
      <alignment/>
      <protection/>
    </xf>
    <xf numFmtId="166" fontId="10" fillId="17" borderId="25" xfId="131" applyNumberFormat="1" applyFont="1" applyFill="1" applyBorder="1">
      <alignment/>
      <protection/>
    </xf>
    <xf numFmtId="166" fontId="0" fillId="7" borderId="10" xfId="73" applyNumberFormat="1" applyFont="1" applyFill="1" applyBorder="1" applyAlignment="1">
      <alignment horizontal="right"/>
    </xf>
    <xf numFmtId="166" fontId="0" fillId="4" borderId="10" xfId="73" applyNumberFormat="1" applyFont="1" applyFill="1" applyBorder="1" applyAlignment="1">
      <alignment horizontal="right"/>
    </xf>
    <xf numFmtId="166" fontId="10" fillId="17" borderId="10" xfId="73" applyNumberFormat="1" applyFont="1" applyFill="1" applyBorder="1" applyAlignment="1">
      <alignment horizontal="center"/>
    </xf>
    <xf numFmtId="166" fontId="0" fillId="4" borderId="10" xfId="134" applyNumberFormat="1" applyFont="1" applyFill="1" applyBorder="1" applyAlignment="1">
      <alignment/>
      <protection/>
    </xf>
    <xf numFmtId="166" fontId="0" fillId="21" borderId="10" xfId="134" applyNumberFormat="1" applyFont="1" applyFill="1" applyBorder="1" applyAlignment="1">
      <alignment/>
      <protection/>
    </xf>
    <xf numFmtId="166" fontId="0" fillId="7" borderId="10" xfId="73" applyNumberFormat="1" applyFont="1" applyFill="1" applyBorder="1" applyAlignment="1">
      <alignment/>
    </xf>
    <xf numFmtId="166" fontId="0" fillId="7" borderId="10" xfId="73" applyNumberFormat="1" applyFont="1" applyFill="1" applyBorder="1" applyAlignment="1" quotePrefix="1">
      <alignment/>
    </xf>
    <xf numFmtId="166" fontId="0" fillId="4" borderId="10" xfId="134" applyNumberFormat="1" applyFont="1" applyFill="1" applyBorder="1" applyAlignment="1">
      <alignment horizontal="right"/>
      <protection/>
    </xf>
    <xf numFmtId="166" fontId="0" fillId="17" borderId="10" xfId="73" applyNumberFormat="1" applyFont="1" applyFill="1" applyBorder="1" applyAlignment="1">
      <alignment/>
    </xf>
    <xf numFmtId="166" fontId="0" fillId="4" borderId="10" xfId="134" applyNumberFormat="1" applyFont="1" applyFill="1" applyBorder="1">
      <alignment/>
      <protection/>
    </xf>
    <xf numFmtId="166" fontId="36" fillId="17" borderId="10" xfId="137" applyNumberFormat="1" applyFont="1" applyFill="1" applyBorder="1" applyAlignment="1">
      <alignment horizontal="left" vertical="center" wrapText="1"/>
      <protection/>
    </xf>
    <xf numFmtId="166" fontId="40" fillId="25" borderId="0" xfId="73" applyNumberFormat="1" applyFont="1" applyFill="1" applyAlignment="1" applyProtection="1">
      <alignment horizontal="right"/>
      <protection locked="0"/>
    </xf>
    <xf numFmtId="166" fontId="36" fillId="17" borderId="10" xfId="73" applyNumberFormat="1" applyFont="1" applyFill="1" applyBorder="1" applyAlignment="1">
      <alignment horizontal="center" vertical="center" wrapText="1"/>
    </xf>
    <xf numFmtId="0" fontId="1" fillId="20" borderId="0" xfId="0" applyFont="1" applyFill="1" applyAlignment="1">
      <alignment/>
    </xf>
    <xf numFmtId="0" fontId="3" fillId="20" borderId="0" xfId="0" applyFont="1" applyFill="1" applyAlignment="1">
      <alignment/>
    </xf>
    <xf numFmtId="0" fontId="3" fillId="20" borderId="0" xfId="131" applyFont="1" applyFill="1">
      <alignment/>
      <protection/>
    </xf>
    <xf numFmtId="0" fontId="0" fillId="20" borderId="0" xfId="131" applyFill="1">
      <alignment/>
      <protection/>
    </xf>
    <xf numFmtId="167" fontId="2" fillId="20" borderId="0" xfId="131" applyNumberFormat="1" applyFont="1" applyFill="1" applyBorder="1" applyAlignment="1">
      <alignment horizontal="left"/>
      <protection/>
    </xf>
    <xf numFmtId="164" fontId="0" fillId="20" borderId="0" xfId="131" applyNumberFormat="1" applyFont="1" applyFill="1" applyBorder="1" applyAlignment="1">
      <alignment horizontal="center"/>
      <protection/>
    </xf>
    <xf numFmtId="0" fontId="62" fillId="20" borderId="0" xfId="129" applyFont="1" applyFill="1">
      <alignment/>
      <protection/>
    </xf>
    <xf numFmtId="193" fontId="0" fillId="4" borderId="10" xfId="134" applyNumberFormat="1" applyFont="1" applyFill="1" applyBorder="1" applyAlignment="1">
      <alignment horizontal="right" vertical="center"/>
      <protection/>
    </xf>
    <xf numFmtId="193" fontId="0" fillId="4" borderId="10" xfId="134" applyNumberFormat="1" applyFont="1" applyFill="1" applyBorder="1" applyAlignment="1">
      <alignment vertical="center" wrapText="1"/>
      <protection/>
    </xf>
    <xf numFmtId="193" fontId="0" fillId="4" borderId="10" xfId="134" applyNumberFormat="1" applyFont="1" applyFill="1" applyBorder="1" applyAlignment="1">
      <alignment horizontal="center" vertical="center" wrapText="1"/>
      <protection/>
    </xf>
    <xf numFmtId="166" fontId="0" fillId="4" borderId="10" xfId="73" applyNumberFormat="1" applyFont="1" applyFill="1" applyBorder="1" applyAlignment="1">
      <alignment vertical="center" wrapText="1"/>
    </xf>
    <xf numFmtId="166" fontId="0" fillId="4" borderId="10" xfId="73" applyNumberFormat="1" applyFont="1" applyFill="1" applyBorder="1" applyAlignment="1">
      <alignment/>
    </xf>
    <xf numFmtId="0" fontId="0" fillId="4" borderId="10" xfId="136" applyNumberFormat="1" applyFont="1" applyFill="1" applyBorder="1">
      <alignment/>
      <protection/>
    </xf>
    <xf numFmtId="10" fontId="0" fillId="29" borderId="10" xfId="142" applyNumberFormat="1" applyFont="1" applyFill="1" applyBorder="1" applyAlignment="1" applyProtection="1">
      <alignment/>
      <protection locked="0"/>
    </xf>
    <xf numFmtId="10" fontId="0" fillId="4" borderId="10" xfId="142" applyNumberFormat="1" applyFont="1" applyFill="1" applyBorder="1" applyAlignment="1">
      <alignment/>
    </xf>
    <xf numFmtId="171" fontId="0" fillId="4" borderId="10" xfId="136" applyNumberFormat="1" applyFont="1" applyFill="1" applyBorder="1" applyAlignment="1">
      <alignment horizontal="center"/>
      <protection/>
    </xf>
    <xf numFmtId="3" fontId="0" fillId="4" borderId="10" xfId="136" applyNumberFormat="1" applyFont="1" applyFill="1" applyBorder="1" applyAlignment="1" quotePrefix="1">
      <alignment horizontal="center"/>
      <protection/>
    </xf>
    <xf numFmtId="171" fontId="0" fillId="4" borderId="10" xfId="136" applyNumberFormat="1" applyFont="1" applyFill="1" applyBorder="1" applyAlignment="1">
      <alignment horizontal="right" wrapText="1"/>
      <protection/>
    </xf>
    <xf numFmtId="171" fontId="0" fillId="4" borderId="10" xfId="136" applyNumberFormat="1" applyFont="1" applyFill="1" applyBorder="1">
      <alignment/>
      <protection/>
    </xf>
    <xf numFmtId="166" fontId="0" fillId="4" borderId="10" xfId="136" applyNumberFormat="1" applyFont="1" applyFill="1" applyBorder="1">
      <alignment/>
      <protection/>
    </xf>
    <xf numFmtId="166" fontId="0" fillId="4" borderId="10" xfId="136" applyNumberFormat="1" applyFont="1" applyFill="1" applyBorder="1" applyAlignment="1">
      <alignment horizontal="right"/>
      <protection/>
    </xf>
    <xf numFmtId="10" fontId="0" fillId="4" borderId="10" xfId="143" applyNumberFormat="1" applyFont="1" applyFill="1" applyBorder="1" applyAlignment="1">
      <alignment horizontal="right"/>
    </xf>
    <xf numFmtId="166" fontId="0" fillId="4" borderId="10" xfId="75" applyNumberFormat="1" applyFont="1" applyFill="1" applyBorder="1" applyAlignment="1">
      <alignment/>
    </xf>
    <xf numFmtId="166" fontId="0" fillId="4" borderId="26" xfId="131" applyNumberFormat="1" applyFont="1" applyFill="1" applyBorder="1" applyAlignment="1" quotePrefix="1">
      <alignment horizontal="right"/>
      <protection/>
    </xf>
    <xf numFmtId="197" fontId="38" fillId="7" borderId="10" xfId="73" applyNumberFormat="1" applyFont="1" applyFill="1" applyBorder="1" applyAlignment="1">
      <alignment/>
    </xf>
    <xf numFmtId="197" fontId="0" fillId="4" borderId="10" xfId="73" applyNumberFormat="1" applyFont="1" applyFill="1" applyBorder="1" applyAlignment="1">
      <alignment horizontal="right"/>
    </xf>
    <xf numFmtId="0" fontId="69" fillId="30" borderId="10" xfId="132" applyFont="1" applyFill="1" applyBorder="1" applyAlignment="1">
      <alignment horizontal="center"/>
      <protection/>
    </xf>
    <xf numFmtId="0" fontId="69" fillId="30" borderId="10" xfId="132" applyFont="1" applyFill="1" applyBorder="1" applyAlignment="1">
      <alignment horizontal="center" wrapText="1"/>
      <protection/>
    </xf>
    <xf numFmtId="0" fontId="0" fillId="5" borderId="10" xfId="132" applyFont="1" applyBorder="1">
      <alignment/>
      <protection/>
    </xf>
    <xf numFmtId="182" fontId="0" fillId="5" borderId="10" xfId="75" applyNumberFormat="1" applyFont="1" applyFill="1" applyBorder="1" applyAlignment="1">
      <alignment/>
    </xf>
    <xf numFmtId="198" fontId="0" fillId="5" borderId="10" xfId="87" applyNumberFormat="1" applyFont="1" applyFill="1" applyBorder="1" applyAlignment="1">
      <alignment/>
    </xf>
    <xf numFmtId="197" fontId="37" fillId="7" borderId="10" xfId="73" applyNumberFormat="1" applyFont="1" applyFill="1" applyBorder="1" applyAlignment="1">
      <alignment/>
    </xf>
    <xf numFmtId="171" fontId="0" fillId="25" borderId="10" xfId="134" applyNumberFormat="1" applyFont="1" applyFill="1" applyBorder="1" applyAlignment="1">
      <alignment vertical="center"/>
      <protection/>
    </xf>
    <xf numFmtId="171" fontId="0" fillId="4" borderId="10" xfId="136" applyNumberFormat="1" applyFont="1" applyFill="1" applyBorder="1" applyAlignment="1">
      <alignment horizontal="right" vertical="center" wrapText="1"/>
      <protection/>
    </xf>
    <xf numFmtId="171" fontId="0" fillId="4" borderId="10" xfId="136" applyNumberFormat="1" applyFont="1" applyFill="1" applyBorder="1" applyAlignment="1">
      <alignment horizontal="center" vertical="center"/>
      <protection/>
    </xf>
    <xf numFmtId="1" fontId="0" fillId="4" borderId="26" xfId="131" applyNumberFormat="1" applyFont="1" applyFill="1" applyBorder="1" applyAlignment="1">
      <alignment horizontal="center"/>
      <protection/>
    </xf>
    <xf numFmtId="0" fontId="50" fillId="0" borderId="32" xfId="119" applyFont="1" applyBorder="1" applyAlignment="1">
      <alignment horizontal="center" vertical="center" wrapText="1"/>
      <protection/>
    </xf>
    <xf numFmtId="0" fontId="50" fillId="0" borderId="33" xfId="119" applyFont="1" applyBorder="1" applyAlignment="1">
      <alignment horizontal="center" vertical="center" wrapText="1"/>
      <protection/>
    </xf>
    <xf numFmtId="0" fontId="9" fillId="5" borderId="0" xfId="131" applyFont="1">
      <alignment/>
      <protection/>
    </xf>
    <xf numFmtId="0" fontId="3" fillId="20" borderId="0" xfId="132" applyFont="1" applyFill="1" applyBorder="1" applyAlignment="1">
      <alignment horizontal="left" indent="1"/>
      <protection/>
    </xf>
    <xf numFmtId="0" fontId="0" fillId="20" borderId="0" xfId="119" applyFill="1">
      <alignment/>
      <protection/>
    </xf>
    <xf numFmtId="0" fontId="47" fillId="20" borderId="24" xfId="119" applyFont="1" applyFill="1" applyBorder="1" applyAlignment="1">
      <alignment horizontal="center" vertical="center" wrapText="1"/>
      <protection/>
    </xf>
    <xf numFmtId="0" fontId="47" fillId="20" borderId="20" xfId="119" applyFont="1" applyFill="1" applyBorder="1" applyAlignment="1">
      <alignment horizontal="center" vertical="center" wrapText="1"/>
      <protection/>
    </xf>
    <xf numFmtId="0" fontId="47" fillId="20" borderId="34" xfId="119" applyFont="1" applyFill="1" applyBorder="1" applyAlignment="1">
      <alignment horizontal="justify" vertical="center" wrapText="1"/>
      <protection/>
    </xf>
    <xf numFmtId="0" fontId="49" fillId="20" borderId="17" xfId="119" applyFont="1" applyFill="1" applyBorder="1" applyAlignment="1">
      <alignment horizontal="center" vertical="center" wrapText="1"/>
      <protection/>
    </xf>
    <xf numFmtId="0" fontId="49" fillId="20" borderId="34" xfId="119" applyFont="1" applyFill="1" applyBorder="1" applyAlignment="1">
      <alignment horizontal="justify" vertical="center" wrapText="1"/>
      <protection/>
    </xf>
    <xf numFmtId="0" fontId="49" fillId="20" borderId="33" xfId="119" applyFont="1" applyFill="1" applyBorder="1" applyAlignment="1">
      <alignment vertical="center" wrapText="1"/>
      <protection/>
    </xf>
    <xf numFmtId="0" fontId="49" fillId="20" borderId="20" xfId="119" applyFont="1" applyFill="1" applyBorder="1" applyAlignment="1">
      <alignment horizontal="center" vertical="center" wrapText="1"/>
      <protection/>
    </xf>
    <xf numFmtId="0" fontId="49" fillId="20" borderId="33" xfId="119" applyFont="1" applyFill="1" applyBorder="1" applyAlignment="1">
      <alignment horizontal="justify" vertical="center" wrapText="1"/>
      <protection/>
    </xf>
    <xf numFmtId="0" fontId="49" fillId="20" borderId="17" xfId="119" applyFont="1" applyFill="1" applyBorder="1" applyAlignment="1">
      <alignment vertical="center" wrapText="1"/>
      <protection/>
    </xf>
    <xf numFmtId="166" fontId="0" fillId="4" borderId="10" xfId="136" applyNumberFormat="1" applyFont="1" applyFill="1" applyBorder="1" applyAlignment="1" quotePrefix="1">
      <alignment horizontal="center"/>
      <protection/>
    </xf>
    <xf numFmtId="166" fontId="0" fillId="29" borderId="10" xfId="0" applyNumberFormat="1" applyFill="1" applyBorder="1" applyAlignment="1" applyProtection="1">
      <alignment horizontal="center"/>
      <protection locked="0"/>
    </xf>
    <xf numFmtId="43" fontId="0" fillId="21" borderId="10" xfId="73" applyFont="1" applyFill="1" applyBorder="1" applyAlignment="1">
      <alignment/>
    </xf>
    <xf numFmtId="197" fontId="0" fillId="29" borderId="10" xfId="87" applyNumberFormat="1" applyFont="1" applyFill="1" applyBorder="1" applyAlignment="1">
      <alignment/>
    </xf>
    <xf numFmtId="197" fontId="0" fillId="21" borderId="10" xfId="0" applyNumberFormat="1" applyFill="1" applyBorder="1" applyAlignment="1">
      <alignment/>
    </xf>
    <xf numFmtId="197" fontId="0" fillId="21" borderId="10" xfId="87" applyNumberFormat="1" applyFont="1" applyFill="1" applyBorder="1" applyAlignment="1">
      <alignment/>
    </xf>
    <xf numFmtId="43" fontId="0" fillId="21" borderId="10" xfId="73" applyNumberFormat="1" applyFont="1" applyFill="1" applyBorder="1" applyAlignment="1">
      <alignment/>
    </xf>
    <xf numFmtId="0" fontId="1" fillId="20" borderId="0" xfId="131" applyFont="1" applyFill="1" applyAlignment="1">
      <alignment/>
      <protection/>
    </xf>
    <xf numFmtId="0" fontId="42" fillId="20" borderId="0" xfId="131" applyFont="1" applyFill="1">
      <alignment/>
      <protection/>
    </xf>
    <xf numFmtId="0" fontId="43" fillId="20" borderId="0" xfId="131" applyFont="1" applyFill="1">
      <alignment/>
      <protection/>
    </xf>
    <xf numFmtId="14" fontId="42" fillId="20" borderId="0" xfId="131" applyNumberFormat="1" applyFont="1" applyFill="1">
      <alignment/>
      <protection/>
    </xf>
    <xf numFmtId="14" fontId="42" fillId="20" borderId="0" xfId="131" applyNumberFormat="1" applyFont="1" applyFill="1" applyAlignment="1">
      <alignment horizontal="left"/>
      <protection/>
    </xf>
    <xf numFmtId="203" fontId="0" fillId="21" borderId="10" xfId="142" applyNumberFormat="1" applyFont="1" applyFill="1" applyBorder="1" applyAlignment="1">
      <alignment/>
    </xf>
    <xf numFmtId="204" fontId="0" fillId="4" borderId="10" xfId="142" applyNumberFormat="1" applyFont="1" applyFill="1" applyBorder="1" applyAlignment="1">
      <alignment/>
    </xf>
    <xf numFmtId="3" fontId="0" fillId="4" borderId="10" xfId="136" applyNumberFormat="1" applyFont="1" applyFill="1" applyBorder="1" applyAlignment="1" quotePrefix="1">
      <alignment horizontal="center" vertical="center"/>
      <protection/>
    </xf>
    <xf numFmtId="14" fontId="0" fillId="0" borderId="0" xfId="0" applyNumberForma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ill="1" applyAlignment="1">
      <alignment vertical="center"/>
    </xf>
    <xf numFmtId="43" fontId="0" fillId="4" borderId="10" xfId="75" applyFont="1" applyFill="1" applyBorder="1" applyAlignment="1">
      <alignment horizontal="right"/>
    </xf>
    <xf numFmtId="167" fontId="0" fillId="17" borderId="10" xfId="132" applyNumberFormat="1" applyFont="1" applyFill="1" applyBorder="1" applyAlignment="1">
      <alignment horizontal="left"/>
      <protection/>
    </xf>
    <xf numFmtId="167" fontId="10" fillId="17" borderId="10" xfId="132" applyNumberFormat="1" applyFont="1" applyFill="1" applyBorder="1" applyAlignment="1">
      <alignment horizontal="left"/>
      <protection/>
    </xf>
    <xf numFmtId="184" fontId="0" fillId="4" borderId="10" xfId="75" applyNumberFormat="1" applyFont="1" applyFill="1" applyBorder="1" applyAlignment="1">
      <alignment horizontal="right"/>
    </xf>
    <xf numFmtId="182" fontId="0" fillId="4" borderId="21" xfId="75" applyNumberFormat="1" applyFont="1" applyFill="1" applyBorder="1" applyAlignment="1">
      <alignment horizontal="right"/>
    </xf>
    <xf numFmtId="184" fontId="0" fillId="4" borderId="35" xfId="75" applyNumberFormat="1" applyFont="1" applyFill="1" applyBorder="1" applyAlignment="1">
      <alignment horizontal="right"/>
    </xf>
    <xf numFmtId="182" fontId="0" fillId="4" borderId="35" xfId="75" applyNumberFormat="1" applyFont="1" applyFill="1" applyBorder="1" applyAlignment="1">
      <alignment horizontal="right"/>
    </xf>
    <xf numFmtId="166" fontId="0" fillId="5" borderId="0" xfId="131" applyNumberFormat="1" applyFont="1">
      <alignment/>
      <protection/>
    </xf>
    <xf numFmtId="43" fontId="38" fillId="7" borderId="10" xfId="73" applyFont="1" applyFill="1" applyBorder="1" applyAlignment="1">
      <alignment/>
    </xf>
    <xf numFmtId="166" fontId="0" fillId="5" borderId="0" xfId="131" applyNumberFormat="1">
      <alignment/>
      <protection/>
    </xf>
    <xf numFmtId="182" fontId="0" fillId="5" borderId="0" xfId="73" applyNumberFormat="1" applyFill="1" applyAlignment="1">
      <alignment/>
    </xf>
    <xf numFmtId="194" fontId="0" fillId="20" borderId="0" xfId="0" applyNumberFormat="1" applyFill="1" applyAlignment="1" applyProtection="1">
      <alignment/>
      <protection locked="0"/>
    </xf>
    <xf numFmtId="0" fontId="47" fillId="20" borderId="0" xfId="0" applyNumberFormat="1" applyFont="1" applyFill="1" applyBorder="1" applyAlignment="1" applyProtection="1">
      <alignment horizontal="right"/>
      <protection locked="0"/>
    </xf>
    <xf numFmtId="43" fontId="47" fillId="20" borderId="0" xfId="73" applyFont="1" applyFill="1" applyBorder="1" applyAlignment="1" applyProtection="1">
      <alignment horizontal="right"/>
      <protection locked="0"/>
    </xf>
    <xf numFmtId="43" fontId="47" fillId="20" borderId="0" xfId="0" applyNumberFormat="1" applyFont="1" applyFill="1" applyBorder="1" applyAlignment="1" applyProtection="1">
      <alignment horizontal="right"/>
      <protection locked="0"/>
    </xf>
    <xf numFmtId="212" fontId="47" fillId="20" borderId="0" xfId="0" applyNumberFormat="1" applyFont="1" applyFill="1" applyBorder="1" applyAlignment="1" applyProtection="1">
      <alignment horizontal="right"/>
      <protection locked="0"/>
    </xf>
    <xf numFmtId="0" fontId="0" fillId="0" borderId="0" xfId="0" applyFill="1" applyAlignment="1" applyProtection="1">
      <alignment/>
      <protection locked="0"/>
    </xf>
    <xf numFmtId="0" fontId="50" fillId="20" borderId="34" xfId="119" applyFont="1" applyFill="1" applyBorder="1" applyAlignment="1">
      <alignment horizontal="center" vertical="center"/>
      <protection/>
    </xf>
    <xf numFmtId="0" fontId="50" fillId="20" borderId="32" xfId="119" applyFont="1" applyFill="1" applyBorder="1" applyAlignment="1">
      <alignment horizontal="center" vertical="center" wrapText="1"/>
      <protection/>
    </xf>
    <xf numFmtId="0" fontId="10" fillId="17" borderId="0" xfId="131" applyFont="1" applyFill="1" applyBorder="1" applyAlignment="1">
      <alignment horizontal="right" indent="1"/>
      <protection/>
    </xf>
    <xf numFmtId="0" fontId="10" fillId="17" borderId="36" xfId="131" applyFont="1" applyFill="1" applyBorder="1" applyAlignment="1">
      <alignment horizontal="right" indent="1"/>
      <protection/>
    </xf>
    <xf numFmtId="0" fontId="0" fillId="0" borderId="0" xfId="129" applyFont="1" applyFill="1" applyBorder="1" applyAlignment="1" applyProtection="1">
      <alignment/>
      <protection/>
    </xf>
    <xf numFmtId="0" fontId="0" fillId="5" borderId="0" xfId="129" applyBorder="1" applyAlignment="1">
      <alignment/>
      <protection/>
    </xf>
    <xf numFmtId="0" fontId="0" fillId="4" borderId="11" xfId="131" applyFont="1" applyFill="1" applyBorder="1" applyAlignment="1" applyProtection="1">
      <alignment horizontal="left"/>
      <protection locked="0"/>
    </xf>
    <xf numFmtId="0" fontId="0" fillId="4" borderId="12" xfId="131" applyFont="1" applyFill="1" applyBorder="1" applyAlignment="1" applyProtection="1">
      <alignment horizontal="left"/>
      <protection locked="0"/>
    </xf>
    <xf numFmtId="0" fontId="0" fillId="4" borderId="26" xfId="131" applyFont="1" applyFill="1" applyBorder="1" applyAlignment="1" applyProtection="1">
      <alignment horizontal="left"/>
      <protection locked="0"/>
    </xf>
    <xf numFmtId="0" fontId="9" fillId="0" borderId="0" xfId="129" applyFont="1" applyFill="1" applyAlignment="1">
      <alignment/>
      <protection/>
    </xf>
    <xf numFmtId="0" fontId="0" fillId="0" borderId="0" xfId="128" applyFill="1" applyAlignment="1">
      <alignment/>
      <protection/>
    </xf>
    <xf numFmtId="0" fontId="9" fillId="4" borderId="12" xfId="129" applyFont="1" applyFill="1" applyBorder="1" applyAlignment="1">
      <alignment/>
      <protection/>
    </xf>
    <xf numFmtId="0" fontId="0" fillId="4" borderId="12" xfId="128" applyFill="1" applyBorder="1" applyAlignment="1">
      <alignment/>
      <protection/>
    </xf>
    <xf numFmtId="0" fontId="0" fillId="4" borderId="26" xfId="128" applyFill="1" applyBorder="1" applyAlignment="1">
      <alignment/>
      <protection/>
    </xf>
    <xf numFmtId="0" fontId="9" fillId="4" borderId="10" xfId="129" applyFont="1" applyFill="1" applyBorder="1" applyAlignment="1">
      <alignment/>
      <protection/>
    </xf>
    <xf numFmtId="0" fontId="0" fillId="4" borderId="10" xfId="129" applyFill="1" applyBorder="1" applyAlignment="1">
      <alignment/>
      <protection/>
    </xf>
    <xf numFmtId="14" fontId="9" fillId="4" borderId="12" xfId="129" applyNumberFormat="1" applyFont="1" applyFill="1" applyBorder="1" applyAlignment="1">
      <alignment/>
      <protection/>
    </xf>
    <xf numFmtId="14" fontId="0" fillId="4" borderId="12" xfId="128" applyNumberFormat="1" applyFill="1" applyBorder="1" applyAlignment="1">
      <alignment/>
      <protection/>
    </xf>
    <xf numFmtId="14" fontId="0" fillId="4" borderId="26" xfId="128" applyNumberFormat="1" applyFill="1" applyBorder="1" applyAlignment="1">
      <alignment/>
      <protection/>
    </xf>
    <xf numFmtId="0" fontId="13" fillId="4" borderId="11" xfId="98" applyFill="1" applyBorder="1" applyAlignment="1" applyProtection="1">
      <alignment horizontal="left"/>
      <protection locked="0"/>
    </xf>
    <xf numFmtId="0" fontId="0" fillId="4" borderId="12" xfId="132" applyFont="1" applyFill="1" applyBorder="1" applyAlignment="1" applyProtection="1">
      <alignment horizontal="left"/>
      <protection locked="0"/>
    </xf>
    <xf numFmtId="0" fontId="0" fillId="4" borderId="26" xfId="132" applyFont="1" applyFill="1" applyBorder="1" applyAlignment="1" applyProtection="1">
      <alignment horizontal="left"/>
      <protection locked="0"/>
    </xf>
    <xf numFmtId="0" fontId="0" fillId="4" borderId="10" xfId="131" applyFont="1" applyFill="1" applyBorder="1" applyAlignment="1" applyProtection="1">
      <alignment horizontal="left"/>
      <protection locked="0"/>
    </xf>
    <xf numFmtId="0" fontId="0" fillId="5" borderId="12" xfId="131" applyBorder="1" applyAlignment="1">
      <alignment/>
      <protection/>
    </xf>
    <xf numFmtId="0" fontId="0" fillId="5" borderId="26" xfId="131" applyBorder="1" applyAlignment="1">
      <alignment/>
      <protection/>
    </xf>
    <xf numFmtId="0" fontId="0" fillId="4" borderId="11" xfId="131" applyFont="1" applyFill="1" applyBorder="1" applyAlignment="1" applyProtection="1" quotePrefix="1">
      <alignment horizontal="left"/>
      <protection locked="0"/>
    </xf>
    <xf numFmtId="0" fontId="3" fillId="5" borderId="22" xfId="129" applyFont="1" applyBorder="1" applyAlignment="1" applyProtection="1">
      <alignment/>
      <protection locked="0"/>
    </xf>
    <xf numFmtId="0" fontId="0" fillId="5" borderId="23" xfId="129" applyBorder="1" applyAlignment="1">
      <alignment/>
      <protection/>
    </xf>
    <xf numFmtId="0" fontId="0" fillId="5" borderId="24" xfId="129" applyBorder="1" applyAlignment="1">
      <alignment/>
      <protection/>
    </xf>
    <xf numFmtId="164" fontId="2" fillId="7" borderId="18" xfId="65" applyFont="1" applyBorder="1" applyAlignment="1">
      <alignment horizontal="left"/>
      <protection/>
    </xf>
    <xf numFmtId="0" fontId="0" fillId="5" borderId="19" xfId="129" applyBorder="1" applyAlignment="1">
      <alignment/>
      <protection/>
    </xf>
    <xf numFmtId="0" fontId="0" fillId="5" borderId="20" xfId="129" applyBorder="1" applyAlignment="1">
      <alignment/>
      <protection/>
    </xf>
    <xf numFmtId="164" fontId="2" fillId="4" borderId="16" xfId="101" applyFont="1" applyFill="1" applyBorder="1" applyAlignment="1">
      <alignment horizontal="left"/>
      <protection locked="0"/>
    </xf>
    <xf numFmtId="0" fontId="0" fillId="4" borderId="0" xfId="129" applyFill="1" applyBorder="1" applyAlignment="1">
      <alignment/>
      <protection/>
    </xf>
    <xf numFmtId="0" fontId="0" fillId="4" borderId="17" xfId="129" applyFill="1" applyBorder="1" applyAlignment="1">
      <alignment/>
      <protection/>
    </xf>
    <xf numFmtId="164" fontId="70" fillId="28" borderId="16" xfId="101" applyFont="1" applyFill="1" applyBorder="1" applyAlignment="1">
      <alignment horizontal="left"/>
      <protection locked="0"/>
    </xf>
    <xf numFmtId="0" fontId="71" fillId="28" borderId="0" xfId="129" applyFont="1" applyFill="1" applyBorder="1" applyAlignment="1">
      <alignment/>
      <protection/>
    </xf>
    <xf numFmtId="0" fontId="71" fillId="28" borderId="17" xfId="129" applyFont="1" applyFill="1" applyBorder="1" applyAlignment="1">
      <alignment/>
      <protection/>
    </xf>
    <xf numFmtId="0" fontId="15" fillId="18" borderId="0" xfId="127" applyFont="1" applyFill="1" applyBorder="1" applyAlignment="1">
      <alignment horizontal="left" vertical="center"/>
      <protection/>
    </xf>
    <xf numFmtId="2" fontId="36" fillId="17" borderId="10" xfId="132" applyNumberFormat="1" applyFont="1" applyFill="1" applyBorder="1" applyAlignment="1">
      <alignment horizontal="center" vertical="center" wrapText="1"/>
      <protection/>
    </xf>
    <xf numFmtId="0" fontId="3" fillId="0" borderId="0" xfId="133" applyFont="1" applyFill="1" applyBorder="1" applyAlignment="1">
      <alignment horizontal="left" vertical="center"/>
      <protection/>
    </xf>
    <xf numFmtId="2" fontId="36" fillId="17" borderId="11" xfId="131" applyNumberFormat="1" applyFont="1" applyFill="1" applyBorder="1" applyAlignment="1">
      <alignment horizontal="center" vertical="center" wrapText="1"/>
      <protection/>
    </xf>
    <xf numFmtId="2" fontId="36" fillId="17" borderId="12" xfId="131" applyNumberFormat="1" applyFont="1" applyFill="1" applyBorder="1" applyAlignment="1">
      <alignment horizontal="center" vertical="center" wrapText="1"/>
      <protection/>
    </xf>
    <xf numFmtId="2" fontId="36" fillId="17" borderId="26" xfId="131" applyNumberFormat="1" applyFont="1" applyFill="1" applyBorder="1" applyAlignment="1">
      <alignment horizontal="center" vertical="center" wrapText="1"/>
      <protection/>
    </xf>
    <xf numFmtId="0" fontId="1" fillId="0" borderId="0" xfId="131" applyFont="1" applyFill="1" applyAlignment="1">
      <alignment horizontal="left"/>
      <protection/>
    </xf>
    <xf numFmtId="0" fontId="1" fillId="0" borderId="0" xfId="131" applyFont="1" applyFill="1" applyAlignment="1">
      <alignment/>
      <protection/>
    </xf>
    <xf numFmtId="0" fontId="1" fillId="5" borderId="0" xfId="134" applyFont="1" applyAlignment="1">
      <alignment/>
      <protection/>
    </xf>
    <xf numFmtId="168" fontId="10" fillId="17" borderId="11" xfId="131" applyNumberFormat="1" applyFont="1" applyFill="1" applyBorder="1" applyAlignment="1" quotePrefix="1">
      <alignment horizontal="right" vertical="center" wrapText="1"/>
      <protection/>
    </xf>
    <xf numFmtId="168" fontId="10" fillId="17" borderId="26" xfId="131" applyNumberFormat="1" applyFont="1" applyFill="1" applyBorder="1" applyAlignment="1" quotePrefix="1">
      <alignment horizontal="right" vertical="center" wrapText="1"/>
      <protection/>
    </xf>
    <xf numFmtId="0" fontId="1" fillId="5" borderId="0" xfId="131" applyFont="1" applyAlignment="1">
      <alignment/>
      <protection/>
    </xf>
    <xf numFmtId="0" fontId="36" fillId="19" borderId="11" xfId="134" applyFont="1" applyFill="1" applyBorder="1" applyAlignment="1">
      <alignment horizontal="right"/>
      <protection/>
    </xf>
    <xf numFmtId="0" fontId="36" fillId="19" borderId="12" xfId="134" applyFont="1" applyFill="1" applyBorder="1" applyAlignment="1">
      <alignment horizontal="right"/>
      <protection/>
    </xf>
    <xf numFmtId="0" fontId="36" fillId="19" borderId="26" xfId="134" applyFont="1" applyFill="1" applyBorder="1" applyAlignment="1">
      <alignment horizontal="right"/>
      <protection/>
    </xf>
    <xf numFmtId="49" fontId="36" fillId="17" borderId="28" xfId="137" applyNumberFormat="1" applyFont="1" applyFill="1" applyBorder="1" applyAlignment="1">
      <alignment horizontal="center" vertical="center" wrapText="1"/>
      <protection/>
    </xf>
    <xf numFmtId="49" fontId="36" fillId="17" borderId="0" xfId="137" applyNumberFormat="1" applyFont="1" applyFill="1" applyBorder="1" applyAlignment="1">
      <alignment horizontal="center" vertical="center" wrapText="1"/>
      <protection/>
    </xf>
    <xf numFmtId="0" fontId="72" fillId="31" borderId="11" xfId="0" applyNumberFormat="1" applyFont="1" applyFill="1" applyBorder="1" applyAlignment="1" applyProtection="1">
      <alignment horizontal="center" vertical="center"/>
      <protection locked="0"/>
    </xf>
    <xf numFmtId="0" fontId="72" fillId="31" borderId="12" xfId="0" applyNumberFormat="1" applyFont="1" applyFill="1" applyBorder="1" applyAlignment="1" applyProtection="1">
      <alignment horizontal="center" vertical="center"/>
      <protection locked="0"/>
    </xf>
    <xf numFmtId="0" fontId="72" fillId="31" borderId="26" xfId="0" applyNumberFormat="1" applyFont="1" applyFill="1" applyBorder="1" applyAlignment="1" applyProtection="1">
      <alignment horizontal="center" vertical="center"/>
      <protection locked="0"/>
    </xf>
    <xf numFmtId="0" fontId="40" fillId="22" borderId="37" xfId="0" applyNumberFormat="1" applyFont="1" applyFill="1" applyBorder="1" applyAlignment="1" applyProtection="1">
      <alignment horizontal="center"/>
      <protection locked="0"/>
    </xf>
    <xf numFmtId="0" fontId="40" fillId="21" borderId="38" xfId="0" applyNumberFormat="1" applyFont="1" applyFill="1" applyBorder="1" applyAlignment="1" applyProtection="1">
      <alignment horizontal="center"/>
      <protection locked="0"/>
    </xf>
    <xf numFmtId="0" fontId="40" fillId="21" borderId="37" xfId="0" applyNumberFormat="1" applyFont="1" applyFill="1" applyBorder="1" applyAlignment="1" applyProtection="1">
      <alignment horizontal="center"/>
      <protection locked="0"/>
    </xf>
    <xf numFmtId="0" fontId="72" fillId="32" borderId="29" xfId="0" applyNumberFormat="1" applyFont="1" applyFill="1" applyBorder="1" applyAlignment="1" applyProtection="1">
      <alignment horizontal="center" vertical="center"/>
      <protection locked="0"/>
    </xf>
    <xf numFmtId="0" fontId="72" fillId="32" borderId="27" xfId="0" applyNumberFormat="1" applyFont="1" applyFill="1" applyBorder="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49" fontId="36" fillId="17" borderId="11" xfId="134" applyNumberFormat="1" applyFont="1" applyFill="1" applyBorder="1" applyAlignment="1">
      <alignment horizontal="center" vertical="center" wrapText="1"/>
      <protection/>
    </xf>
    <xf numFmtId="49" fontId="36" fillId="17" borderId="12" xfId="134" applyNumberFormat="1" applyFont="1" applyFill="1" applyBorder="1" applyAlignment="1">
      <alignment horizontal="center" vertical="center" wrapText="1"/>
      <protection/>
    </xf>
    <xf numFmtId="49" fontId="36" fillId="17" borderId="26" xfId="134" applyNumberFormat="1" applyFont="1" applyFill="1" applyBorder="1" applyAlignment="1">
      <alignment horizontal="center" vertical="center" wrapText="1"/>
      <protection/>
    </xf>
    <xf numFmtId="0" fontId="40" fillId="21" borderId="0" xfId="0" applyNumberFormat="1" applyFont="1" applyFill="1" applyAlignment="1" applyProtection="1">
      <alignment horizontal="center"/>
      <protection locked="0"/>
    </xf>
    <xf numFmtId="0" fontId="72" fillId="33" borderId="0" xfId="0" applyNumberFormat="1" applyFont="1" applyFill="1" applyAlignment="1" applyProtection="1">
      <alignment horizontal="center" vertical="center"/>
      <protection locked="0"/>
    </xf>
    <xf numFmtId="0" fontId="0" fillId="5" borderId="0" xfId="131" applyAlignment="1">
      <alignment/>
      <protection/>
    </xf>
    <xf numFmtId="0" fontId="72" fillId="34" borderId="0" xfId="0" applyNumberFormat="1" applyFont="1" applyFill="1" applyAlignment="1" applyProtection="1">
      <alignment horizontal="center" vertical="center"/>
      <protection locked="0"/>
    </xf>
    <xf numFmtId="167" fontId="0" fillId="4" borderId="10" xfId="131" applyNumberFormat="1" applyFont="1" applyFill="1" applyBorder="1" applyAlignment="1">
      <alignment horizontal="left"/>
      <protection/>
    </xf>
    <xf numFmtId="168" fontId="36" fillId="17" borderId="11" xfId="131" applyNumberFormat="1" applyFont="1" applyFill="1" applyBorder="1" applyAlignment="1" quotePrefix="1">
      <alignment horizontal="left" vertical="center" wrapText="1"/>
      <protection/>
    </xf>
    <xf numFmtId="168" fontId="36" fillId="17" borderId="12" xfId="131" applyNumberFormat="1" applyFont="1" applyFill="1" applyBorder="1" applyAlignment="1" quotePrefix="1">
      <alignment horizontal="left" vertical="center" wrapText="1"/>
      <protection/>
    </xf>
    <xf numFmtId="168" fontId="36" fillId="17" borderId="26" xfId="131" applyNumberFormat="1" applyFont="1" applyFill="1" applyBorder="1" applyAlignment="1" quotePrefix="1">
      <alignment horizontal="left" vertical="center" wrapText="1"/>
      <protection/>
    </xf>
    <xf numFmtId="0" fontId="50" fillId="0" borderId="39" xfId="119" applyFont="1" applyBorder="1" applyAlignment="1">
      <alignment horizontal="center" vertical="center"/>
      <protection/>
    </xf>
    <xf numFmtId="0" fontId="50" fillId="0" borderId="33" xfId="119" applyFont="1" applyBorder="1" applyAlignment="1">
      <alignment horizontal="center" vertical="center"/>
      <protection/>
    </xf>
    <xf numFmtId="0" fontId="50" fillId="20" borderId="39" xfId="119" applyFont="1" applyFill="1" applyBorder="1" applyAlignment="1">
      <alignment horizontal="center" vertical="center"/>
      <protection/>
    </xf>
    <xf numFmtId="0" fontId="50" fillId="20" borderId="34" xfId="119" applyFont="1" applyFill="1" applyBorder="1" applyAlignment="1">
      <alignment horizontal="center" vertical="center"/>
      <protection/>
    </xf>
    <xf numFmtId="0" fontId="50" fillId="0" borderId="37" xfId="119" applyFont="1" applyBorder="1" applyAlignment="1">
      <alignment horizontal="left" vertical="center" wrapText="1" indent="1"/>
      <protection/>
    </xf>
    <xf numFmtId="0" fontId="50" fillId="0" borderId="40" xfId="119" applyFont="1" applyBorder="1" applyAlignment="1">
      <alignment horizontal="left" vertical="center" wrapText="1" indent="1"/>
      <protection/>
    </xf>
    <xf numFmtId="0" fontId="50" fillId="0" borderId="22" xfId="119" applyFont="1" applyBorder="1" applyAlignment="1">
      <alignment horizontal="center" vertical="center" wrapText="1"/>
      <protection/>
    </xf>
    <xf numFmtId="0" fontId="50" fillId="0" borderId="18" xfId="119" applyFont="1" applyBorder="1" applyAlignment="1">
      <alignment horizontal="center" vertical="center" wrapText="1"/>
      <protection/>
    </xf>
    <xf numFmtId="0" fontId="50" fillId="20" borderId="22" xfId="119" applyFont="1" applyFill="1" applyBorder="1" applyAlignment="1">
      <alignment horizontal="left" vertical="center" wrapText="1" indent="1"/>
      <protection/>
    </xf>
    <xf numFmtId="0" fontId="50" fillId="20" borderId="23" xfId="119" applyFont="1" applyFill="1" applyBorder="1" applyAlignment="1">
      <alignment horizontal="left" vertical="center" wrapText="1" indent="1"/>
      <protection/>
    </xf>
    <xf numFmtId="0" fontId="50" fillId="20" borderId="24" xfId="119" applyFont="1" applyFill="1" applyBorder="1" applyAlignment="1">
      <alignment horizontal="left" vertical="center" wrapText="1" indent="1"/>
      <protection/>
    </xf>
    <xf numFmtId="0" fontId="50" fillId="20" borderId="41" xfId="119" applyFont="1" applyFill="1" applyBorder="1" applyAlignment="1">
      <alignment horizontal="left" vertical="center" wrapText="1" indent="1"/>
      <protection/>
    </xf>
    <xf numFmtId="0" fontId="50" fillId="20" borderId="42" xfId="119" applyFont="1" applyFill="1" applyBorder="1" applyAlignment="1">
      <alignment horizontal="left" vertical="center" wrapText="1" indent="1"/>
      <protection/>
    </xf>
    <xf numFmtId="0" fontId="50" fillId="20" borderId="43" xfId="119" applyFont="1" applyFill="1" applyBorder="1" applyAlignment="1">
      <alignment horizontal="left" vertical="center" wrapText="1" indent="1"/>
      <protection/>
    </xf>
    <xf numFmtId="0" fontId="50" fillId="0" borderId="18" xfId="119" applyFont="1" applyBorder="1" applyAlignment="1">
      <alignment horizontal="left" vertical="center" wrapText="1" indent="1"/>
      <protection/>
    </xf>
    <xf numFmtId="0" fontId="50" fillId="0" borderId="19" xfId="119" applyFont="1" applyBorder="1" applyAlignment="1">
      <alignment horizontal="left" vertical="center" wrapText="1" indent="1"/>
      <protection/>
    </xf>
    <xf numFmtId="0" fontId="50" fillId="0" borderId="20" xfId="119" applyFont="1" applyBorder="1" applyAlignment="1">
      <alignment horizontal="left" vertical="center" wrapText="1" indent="1"/>
      <protection/>
    </xf>
    <xf numFmtId="0" fontId="47" fillId="20" borderId="39" xfId="119" applyFont="1" applyFill="1" applyBorder="1" applyAlignment="1">
      <alignment horizontal="center" vertical="center" wrapText="1"/>
      <protection/>
    </xf>
    <xf numFmtId="0" fontId="47" fillId="20" borderId="33" xfId="119" applyFont="1" applyFill="1" applyBorder="1" applyAlignment="1">
      <alignment horizontal="center" vertical="center" wrapText="1"/>
      <protection/>
    </xf>
    <xf numFmtId="0" fontId="50" fillId="20" borderId="44" xfId="119" applyFont="1" applyFill="1" applyBorder="1" applyAlignment="1">
      <alignment horizontal="left" vertical="center" wrapText="1" indent="1"/>
      <protection/>
    </xf>
    <xf numFmtId="0" fontId="50" fillId="20" borderId="45" xfId="119" applyFont="1" applyFill="1" applyBorder="1" applyAlignment="1">
      <alignment horizontal="left" vertical="center" wrapText="1" indent="1"/>
      <protection/>
    </xf>
    <xf numFmtId="0" fontId="50" fillId="0" borderId="46" xfId="119" applyFont="1" applyBorder="1" applyAlignment="1">
      <alignment horizontal="left" vertical="center" wrapText="1" indent="1"/>
      <protection/>
    </xf>
    <xf numFmtId="0" fontId="50" fillId="0" borderId="47" xfId="119" applyFont="1" applyBorder="1" applyAlignment="1">
      <alignment horizontal="left" vertical="center" wrapText="1" indent="1"/>
      <protection/>
    </xf>
    <xf numFmtId="0" fontId="50" fillId="0" borderId="48" xfId="119" applyFont="1" applyBorder="1" applyAlignment="1">
      <alignment horizontal="left" vertical="center" wrapText="1" indent="1"/>
      <protection/>
    </xf>
    <xf numFmtId="0" fontId="50" fillId="0" borderId="49" xfId="119" applyFont="1" applyBorder="1" applyAlignment="1">
      <alignment horizontal="left" vertical="center" wrapText="1" indent="1"/>
      <protection/>
    </xf>
    <xf numFmtId="0" fontId="50" fillId="0" borderId="44" xfId="119" applyFont="1" applyBorder="1" applyAlignment="1">
      <alignment horizontal="left" vertical="center" wrapText="1" indent="1"/>
      <protection/>
    </xf>
    <xf numFmtId="0" fontId="50" fillId="0" borderId="45" xfId="119" applyFont="1" applyBorder="1" applyAlignment="1">
      <alignment horizontal="left" vertical="center" wrapText="1" indent="1"/>
      <protection/>
    </xf>
    <xf numFmtId="0" fontId="50" fillId="20" borderId="49" xfId="119" applyFont="1" applyFill="1" applyBorder="1" applyAlignment="1">
      <alignment horizontal="left" vertical="center" wrapText="1" indent="1"/>
      <protection/>
    </xf>
    <xf numFmtId="0" fontId="50" fillId="20" borderId="16" xfId="119" applyFont="1" applyFill="1" applyBorder="1" applyAlignment="1">
      <alignment horizontal="left" vertical="center" wrapText="1" indent="1"/>
      <protection/>
    </xf>
    <xf numFmtId="0" fontId="50" fillId="20" borderId="0" xfId="119" applyFont="1" applyFill="1" applyBorder="1" applyAlignment="1">
      <alignment horizontal="left" vertical="center" wrapText="1" indent="1"/>
      <protection/>
    </xf>
    <xf numFmtId="0" fontId="50" fillId="20" borderId="17" xfId="119" applyFont="1" applyFill="1" applyBorder="1" applyAlignment="1">
      <alignment horizontal="left" vertical="center" wrapText="1" indent="1"/>
      <protection/>
    </xf>
    <xf numFmtId="0" fontId="50" fillId="0" borderId="23" xfId="119" applyFont="1" applyBorder="1" applyAlignment="1">
      <alignment horizontal="left" vertical="center" wrapText="1" indent="1"/>
      <protection/>
    </xf>
    <xf numFmtId="0" fontId="50" fillId="0" borderId="24" xfId="119" applyFont="1" applyBorder="1" applyAlignment="1">
      <alignment horizontal="left" vertical="center" wrapText="1" indent="1"/>
      <protection/>
    </xf>
  </cellXfs>
  <cellStyles count="14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3 2" xfId="78"/>
    <cellStyle name="Comma 4" xfId="79"/>
    <cellStyle name="Comma 4 2" xfId="80"/>
    <cellStyle name="Comma 5" xfId="81"/>
    <cellStyle name="Comma 5 2" xfId="82"/>
    <cellStyle name="Comma 6" xfId="83"/>
    <cellStyle name="Comma 6 2" xfId="84"/>
    <cellStyle name="Comma 6 3" xfId="85"/>
    <cellStyle name="Comma 6 5" xfId="86"/>
    <cellStyle name="Currency" xfId="87"/>
    <cellStyle name="Currency [0]" xfId="88"/>
    <cellStyle name="Currency 2" xfId="89"/>
    <cellStyle name="Explanatory Text" xfId="90"/>
    <cellStyle name="Followed Hyperlink" xfId="91"/>
    <cellStyle name="Good" xfId="92"/>
    <cellStyle name="Good 2" xfId="93"/>
    <cellStyle name="Heading 1" xfId="94"/>
    <cellStyle name="Heading 2" xfId="95"/>
    <cellStyle name="Heading 3" xfId="96"/>
    <cellStyle name="Heading 4" xfId="97"/>
    <cellStyle name="Hyperlink" xfId="98"/>
    <cellStyle name="Input" xfId="99"/>
    <cellStyle name="Input 2" xfId="100"/>
    <cellStyle name="Input1" xfId="101"/>
    <cellStyle name="Input1 2" xfId="102"/>
    <cellStyle name="Input1 2 2" xfId="103"/>
    <cellStyle name="Input1 3" xfId="104"/>
    <cellStyle name="Input2" xfId="105"/>
    <cellStyle name="Input2 2" xfId="106"/>
    <cellStyle name="Input3" xfId="107"/>
    <cellStyle name="Input3 2" xfId="108"/>
    <cellStyle name="Input3 2 2" xfId="109"/>
    <cellStyle name="Input3 3" xfId="110"/>
    <cellStyle name="Linked Cell" xfId="111"/>
    <cellStyle name="Neutral" xfId="112"/>
    <cellStyle name="Neutral 2" xfId="113"/>
    <cellStyle name="Normal 10" xfId="114"/>
    <cellStyle name="Normal 107" xfId="115"/>
    <cellStyle name="Normal 11 2 3" xfId="116"/>
    <cellStyle name="Normal 2" xfId="117"/>
    <cellStyle name="Normal 2 2" xfId="118"/>
    <cellStyle name="Normal 3" xfId="119"/>
    <cellStyle name="Normal 3 2" xfId="120"/>
    <cellStyle name="Normal 3 2 3" xfId="121"/>
    <cellStyle name="Normal 4" xfId="122"/>
    <cellStyle name="Normal 4 2" xfId="123"/>
    <cellStyle name="Normal 42" xfId="124"/>
    <cellStyle name="Normal 5" xfId="125"/>
    <cellStyle name="Normal 6" xfId="126"/>
    <cellStyle name="Normal_2010 06 02 - Urgent RIN for Vic DNSPs revised proposals" xfId="127"/>
    <cellStyle name="Normal_2010 06 22 - AA - Scheme Templates for data collection" xfId="128"/>
    <cellStyle name="Normal_2010 06 22 - IE - Scheme Template for data collection" xfId="129"/>
    <cellStyle name="Normal_Book1" xfId="130"/>
    <cellStyle name="Normal_D11 2371025  Financial information - 2012 Draft RIN - Ausgrid" xfId="131"/>
    <cellStyle name="Normal_D11 2371025  Financial information - 2012 Draft RIN - Ausgrid 2" xfId="132"/>
    <cellStyle name="Normal_D12 1569  Opex, DMIS, EBSS - 2012 draft RIN - Ausgrid" xfId="133"/>
    <cellStyle name="Normal_D12 16703  Overheads, Avoided Cost, ACS, Demand and Revenue - 2012 draft RIN - Ausgrid" xfId="134"/>
    <cellStyle name="Normal_D12 16703  Overheads, Avoided Cost, ACS, Demand and Revenue - 2012 draft RIN - Ausgrid 2" xfId="135"/>
    <cellStyle name="Normal_D12 16703  Overheads, Avoided Cost, ACS, Demand and Revenue - 2012 draft RIN - Ausgrid 2 2" xfId="136"/>
    <cellStyle name="Normal_Sheet1" xfId="137"/>
    <cellStyle name="Note" xfId="138"/>
    <cellStyle name="Note 2" xfId="139"/>
    <cellStyle name="Output" xfId="140"/>
    <cellStyle name="Output 2" xfId="141"/>
    <cellStyle name="Percent" xfId="142"/>
    <cellStyle name="Percent 2" xfId="143"/>
    <cellStyle name="Percent 2 2" xfId="144"/>
    <cellStyle name="Percent 3" xfId="145"/>
    <cellStyle name="Percent 4" xfId="146"/>
    <cellStyle name="Percent 83" xfId="147"/>
    <cellStyle name="Percent 9" xfId="148"/>
    <cellStyle name="Style 1" xfId="149"/>
    <cellStyle name="Style 1 2" xfId="150"/>
    <cellStyle name="Style 1 2 2" xfId="151"/>
    <cellStyle name="Style 1 3" xfId="152"/>
    <cellStyle name="Title" xfId="153"/>
    <cellStyle name="Total" xfId="154"/>
    <cellStyle name="Warning Text" xfId="1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summary'!A1"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4 Recovered capital'!Print_Area" /><Relationship Id="rId14" Type="http://schemas.openxmlformats.org/officeDocument/2006/relationships/hyperlink" Target="#'5.1 Exempt WAP services'!Print_Area" /><Relationship Id="rId15" Type="http://schemas.openxmlformats.org/officeDocument/2006/relationships/hyperlink" Target="#'3.2 Shared supporting assets'!Print_Area" /><Relationship Id="rId16" Type="http://schemas.openxmlformats.org/officeDocument/2006/relationships/hyperlink" Target="#'4.1 Pipelines capex'!Print_Area" /><Relationship Id="rId17" Type="http://schemas.openxmlformats.org/officeDocument/2006/relationships/hyperlink" Target="#'Amendment record'!A1" /><Relationship Id="rId18" Type="http://schemas.openxmlformats.org/officeDocument/2006/relationships/hyperlink" Target="#'5.2 Actual Pricing'!Print_Area"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6.png" /><Relationship Id="rId3" Type="http://schemas.openxmlformats.org/officeDocument/2006/relationships/hyperlink" Target="#Contents!A1" /><Relationship Id="rId4"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6.png" /><Relationship Id="rId3" Type="http://schemas.openxmlformats.org/officeDocument/2006/relationships/hyperlink" Target="#Contents!A1" /><Relationship Id="rId4" Type="http://schemas.openxmlformats.org/officeDocument/2006/relationships/hyperlink" Target="#Contents!A1" /></Relationships>
</file>

<file path=xl/drawings/_rels/drawing20.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6.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5</xdr:row>
      <xdr:rowOff>152400</xdr:rowOff>
    </xdr:from>
    <xdr:to>
      <xdr:col>5</xdr:col>
      <xdr:colOff>0</xdr:colOff>
      <xdr:row>8</xdr:row>
      <xdr:rowOff>190500</xdr:rowOff>
    </xdr:to>
    <xdr:sp>
      <xdr:nvSpPr>
        <xdr:cNvPr id="1" name="AutoShape 15">
          <a:hlinkClick r:id="rId1"/>
        </xdr:cNvPr>
        <xdr:cNvSpPr>
          <a:spLocks/>
        </xdr:cNvSpPr>
      </xdr:nvSpPr>
      <xdr:spPr>
        <a:xfrm>
          <a:off x="790575" y="1285875"/>
          <a:ext cx="3228975" cy="6096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8</xdr:row>
      <xdr:rowOff>190500</xdr:rowOff>
    </xdr:from>
    <xdr:to>
      <xdr:col>4</xdr:col>
      <xdr:colOff>1000125</xdr:colOff>
      <xdr:row>12</xdr:row>
      <xdr:rowOff>0</xdr:rowOff>
    </xdr:to>
    <xdr:sp>
      <xdr:nvSpPr>
        <xdr:cNvPr id="2" name="AutoShape 2">
          <a:hlinkClick r:id="rId2"/>
        </xdr:cNvPr>
        <xdr:cNvSpPr>
          <a:spLocks/>
        </xdr:cNvSpPr>
      </xdr:nvSpPr>
      <xdr:spPr>
        <a:xfrm>
          <a:off x="790575" y="1895475"/>
          <a:ext cx="32289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161925</xdr:colOff>
      <xdr:row>16</xdr:row>
      <xdr:rowOff>190500</xdr:rowOff>
    </xdr:from>
    <xdr:to>
      <xdr:col>4</xdr:col>
      <xdr:colOff>1000125</xdr:colOff>
      <xdr:row>20</xdr:row>
      <xdr:rowOff>0</xdr:rowOff>
    </xdr:to>
    <xdr:sp>
      <xdr:nvSpPr>
        <xdr:cNvPr id="3" name="AutoShape 2">
          <a:hlinkClick r:id="rId3"/>
        </xdr:cNvPr>
        <xdr:cNvSpPr>
          <a:spLocks/>
        </xdr:cNvSpPr>
      </xdr:nvSpPr>
      <xdr:spPr>
        <a:xfrm>
          <a:off x="952500" y="3419475"/>
          <a:ext cx="30670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0</xdr:colOff>
      <xdr:row>29</xdr:row>
      <xdr:rowOff>0</xdr:rowOff>
    </xdr:from>
    <xdr:to>
      <xdr:col>5</xdr:col>
      <xdr:colOff>0</xdr:colOff>
      <xdr:row>31</xdr:row>
      <xdr:rowOff>190500</xdr:rowOff>
    </xdr:to>
    <xdr:sp>
      <xdr:nvSpPr>
        <xdr:cNvPr id="4" name="AutoShape 2">
          <a:hlinkClick r:id="rId4"/>
        </xdr:cNvPr>
        <xdr:cNvSpPr>
          <a:spLocks/>
        </xdr:cNvSpPr>
      </xdr:nvSpPr>
      <xdr:spPr>
        <a:xfrm>
          <a:off x="790575" y="5724525"/>
          <a:ext cx="32289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0</xdr:colOff>
      <xdr:row>24</xdr:row>
      <xdr:rowOff>190500</xdr:rowOff>
    </xdr:from>
    <xdr:to>
      <xdr:col>5</xdr:col>
      <xdr:colOff>0</xdr:colOff>
      <xdr:row>28</xdr:row>
      <xdr:rowOff>0</xdr:rowOff>
    </xdr:to>
    <xdr:sp>
      <xdr:nvSpPr>
        <xdr:cNvPr id="5" name="AutoShape 2">
          <a:hlinkClick r:id="rId5"/>
        </xdr:cNvPr>
        <xdr:cNvSpPr>
          <a:spLocks/>
        </xdr:cNvSpPr>
      </xdr:nvSpPr>
      <xdr:spPr>
        <a:xfrm>
          <a:off x="790575" y="4962525"/>
          <a:ext cx="32289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9525</xdr:colOff>
      <xdr:row>12</xdr:row>
      <xdr:rowOff>190500</xdr:rowOff>
    </xdr:from>
    <xdr:to>
      <xdr:col>5</xdr:col>
      <xdr:colOff>0</xdr:colOff>
      <xdr:row>15</xdr:row>
      <xdr:rowOff>190500</xdr:rowOff>
    </xdr:to>
    <xdr:sp>
      <xdr:nvSpPr>
        <xdr:cNvPr id="6" name="AutoShape 2">
          <a:hlinkClick r:id="rId6"/>
        </xdr:cNvPr>
        <xdr:cNvSpPr>
          <a:spLocks/>
        </xdr:cNvSpPr>
      </xdr:nvSpPr>
      <xdr:spPr>
        <a:xfrm>
          <a:off x="800100" y="2657475"/>
          <a:ext cx="32194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summary
</a:t>
          </a:r>
        </a:p>
      </xdr:txBody>
    </xdr:sp>
    <xdr:clientData/>
  </xdr:twoCellAnchor>
  <xdr:twoCellAnchor>
    <xdr:from>
      <xdr:col>2</xdr:col>
      <xdr:colOff>19050</xdr:colOff>
      <xdr:row>33</xdr:row>
      <xdr:rowOff>0</xdr:rowOff>
    </xdr:from>
    <xdr:to>
      <xdr:col>4</xdr:col>
      <xdr:colOff>1000125</xdr:colOff>
      <xdr:row>36</xdr:row>
      <xdr:rowOff>9525</xdr:rowOff>
    </xdr:to>
    <xdr:sp>
      <xdr:nvSpPr>
        <xdr:cNvPr id="7" name="AutoShape 2">
          <a:hlinkClick r:id="rId7"/>
        </xdr:cNvPr>
        <xdr:cNvSpPr>
          <a:spLocks/>
        </xdr:cNvSpPr>
      </xdr:nvSpPr>
      <xdr:spPr>
        <a:xfrm>
          <a:off x="809625" y="6486525"/>
          <a:ext cx="3209925"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2</xdr:col>
      <xdr:colOff>161925</xdr:colOff>
      <xdr:row>36</xdr:row>
      <xdr:rowOff>190500</xdr:rowOff>
    </xdr:from>
    <xdr:to>
      <xdr:col>4</xdr:col>
      <xdr:colOff>1000125</xdr:colOff>
      <xdr:row>39</xdr:row>
      <xdr:rowOff>19050</xdr:rowOff>
    </xdr:to>
    <xdr:sp>
      <xdr:nvSpPr>
        <xdr:cNvPr id="8" name="AutoShape 2">
          <a:hlinkClick r:id="rId8"/>
        </xdr:cNvPr>
        <xdr:cNvSpPr>
          <a:spLocks/>
        </xdr:cNvSpPr>
      </xdr:nvSpPr>
      <xdr:spPr>
        <a:xfrm>
          <a:off x="952500" y="7248525"/>
          <a:ext cx="3067050" cy="4000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5</xdr:col>
      <xdr:colOff>381000</xdr:colOff>
      <xdr:row>20</xdr:row>
      <xdr:rowOff>200025</xdr:rowOff>
    </xdr:from>
    <xdr:to>
      <xdr:col>8</xdr:col>
      <xdr:colOff>0</xdr:colOff>
      <xdr:row>23</xdr:row>
      <xdr:rowOff>190500</xdr:rowOff>
    </xdr:to>
    <xdr:sp>
      <xdr:nvSpPr>
        <xdr:cNvPr id="9" name="AutoShape 2">
          <a:hlinkClick r:id="rId9"/>
        </xdr:cNvPr>
        <xdr:cNvSpPr>
          <a:spLocks noChangeAspect="1"/>
        </xdr:cNvSpPr>
      </xdr:nvSpPr>
      <xdr:spPr>
        <a:xfrm>
          <a:off x="4400550" y="4191000"/>
          <a:ext cx="2228850"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5</xdr:col>
      <xdr:colOff>371475</xdr:colOff>
      <xdr:row>33</xdr:row>
      <xdr:rowOff>0</xdr:rowOff>
    </xdr:from>
    <xdr:to>
      <xdr:col>7</xdr:col>
      <xdr:colOff>1114425</xdr:colOff>
      <xdr:row>36</xdr:row>
      <xdr:rowOff>0</xdr:rowOff>
    </xdr:to>
    <xdr:sp>
      <xdr:nvSpPr>
        <xdr:cNvPr id="10" name="AutoShape 2">
          <a:hlinkClick r:id="rId10"/>
        </xdr:cNvPr>
        <xdr:cNvSpPr>
          <a:spLocks/>
        </xdr:cNvSpPr>
      </xdr:nvSpPr>
      <xdr:spPr>
        <a:xfrm>
          <a:off x="4391025" y="6486525"/>
          <a:ext cx="22383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0</xdr:colOff>
      <xdr:row>5</xdr:row>
      <xdr:rowOff>190500</xdr:rowOff>
    </xdr:from>
    <xdr:to>
      <xdr:col>8</xdr:col>
      <xdr:colOff>238125</xdr:colOff>
      <xdr:row>9</xdr:row>
      <xdr:rowOff>0</xdr:rowOff>
    </xdr:to>
    <xdr:sp>
      <xdr:nvSpPr>
        <xdr:cNvPr id="11" name="AutoShape 2">
          <a:hlinkClick r:id="rId11"/>
        </xdr:cNvPr>
        <xdr:cNvSpPr>
          <a:spLocks/>
        </xdr:cNvSpPr>
      </xdr:nvSpPr>
      <xdr:spPr>
        <a:xfrm>
          <a:off x="4400550" y="1323975"/>
          <a:ext cx="24669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19050</xdr:colOff>
      <xdr:row>20</xdr:row>
      <xdr:rowOff>200025</xdr:rowOff>
    </xdr:from>
    <xdr:to>
      <xdr:col>5</xdr:col>
      <xdr:colOff>0</xdr:colOff>
      <xdr:row>24</xdr:row>
      <xdr:rowOff>0</xdr:rowOff>
    </xdr:to>
    <xdr:sp>
      <xdr:nvSpPr>
        <xdr:cNvPr id="12" name="AutoShape 2">
          <a:hlinkClick r:id="rId12"/>
        </xdr:cNvPr>
        <xdr:cNvSpPr>
          <a:spLocks/>
        </xdr:cNvSpPr>
      </xdr:nvSpPr>
      <xdr:spPr>
        <a:xfrm>
          <a:off x="809625" y="4191000"/>
          <a:ext cx="3209925" cy="5810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0</xdr:colOff>
      <xdr:row>12</xdr:row>
      <xdr:rowOff>190500</xdr:rowOff>
    </xdr:from>
    <xdr:to>
      <xdr:col>8</xdr:col>
      <xdr:colOff>19050</xdr:colOff>
      <xdr:row>15</xdr:row>
      <xdr:rowOff>190500</xdr:rowOff>
    </xdr:to>
    <xdr:sp>
      <xdr:nvSpPr>
        <xdr:cNvPr id="13" name="AutoShape 2">
          <a:hlinkClick r:id="rId13"/>
        </xdr:cNvPr>
        <xdr:cNvSpPr>
          <a:spLocks/>
        </xdr:cNvSpPr>
      </xdr:nvSpPr>
      <xdr:spPr>
        <a:xfrm>
          <a:off x="4400550" y="2657475"/>
          <a:ext cx="224790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5</xdr:col>
      <xdr:colOff>371475</xdr:colOff>
      <xdr:row>25</xdr:row>
      <xdr:rowOff>0</xdr:rowOff>
    </xdr:from>
    <xdr:to>
      <xdr:col>8</xdr:col>
      <xdr:colOff>0</xdr:colOff>
      <xdr:row>28</xdr:row>
      <xdr:rowOff>0</xdr:rowOff>
    </xdr:to>
    <xdr:sp>
      <xdr:nvSpPr>
        <xdr:cNvPr id="14" name="AutoShape 2">
          <a:hlinkClick r:id="rId14"/>
        </xdr:cNvPr>
        <xdr:cNvSpPr>
          <a:spLocks/>
        </xdr:cNvSpPr>
      </xdr:nvSpPr>
      <xdr:spPr>
        <a:xfrm>
          <a:off x="4391025" y="4962525"/>
          <a:ext cx="22383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5</xdr:col>
      <xdr:colOff>381000</xdr:colOff>
      <xdr:row>9</xdr:row>
      <xdr:rowOff>0</xdr:rowOff>
    </xdr:from>
    <xdr:to>
      <xdr:col>8</xdr:col>
      <xdr:colOff>190500</xdr:colOff>
      <xdr:row>11</xdr:row>
      <xdr:rowOff>190500</xdr:rowOff>
    </xdr:to>
    <xdr:sp>
      <xdr:nvSpPr>
        <xdr:cNvPr id="15" name="AutoShape 2">
          <a:hlinkClick r:id="rId15"/>
        </xdr:cNvPr>
        <xdr:cNvSpPr>
          <a:spLocks/>
        </xdr:cNvSpPr>
      </xdr:nvSpPr>
      <xdr:spPr>
        <a:xfrm>
          <a:off x="4400550" y="1895475"/>
          <a:ext cx="24193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Shared supporting assets</a:t>
          </a:r>
        </a:p>
      </xdr:txBody>
    </xdr:sp>
    <xdr:clientData/>
  </xdr:twoCellAnchor>
  <xdr:twoCellAnchor>
    <xdr:from>
      <xdr:col>5</xdr:col>
      <xdr:colOff>381000</xdr:colOff>
      <xdr:row>16</xdr:row>
      <xdr:rowOff>190500</xdr:rowOff>
    </xdr:from>
    <xdr:to>
      <xdr:col>8</xdr:col>
      <xdr:colOff>0</xdr:colOff>
      <xdr:row>20</xdr:row>
      <xdr:rowOff>0</xdr:rowOff>
    </xdr:to>
    <xdr:sp>
      <xdr:nvSpPr>
        <xdr:cNvPr id="16" name="AutoShape 2">
          <a:hlinkClick r:id="rId16"/>
        </xdr:cNvPr>
        <xdr:cNvSpPr>
          <a:spLocks/>
        </xdr:cNvSpPr>
      </xdr:nvSpPr>
      <xdr:spPr>
        <a:xfrm>
          <a:off x="4400550" y="3419475"/>
          <a:ext cx="2228850"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5</xdr:col>
      <xdr:colOff>161925</xdr:colOff>
      <xdr:row>36</xdr:row>
      <xdr:rowOff>152400</xdr:rowOff>
    </xdr:from>
    <xdr:to>
      <xdr:col>7</xdr:col>
      <xdr:colOff>1114425</xdr:colOff>
      <xdr:row>39</xdr:row>
      <xdr:rowOff>9525</xdr:rowOff>
    </xdr:to>
    <xdr:sp>
      <xdr:nvSpPr>
        <xdr:cNvPr id="17" name="AutoShape 2">
          <a:hlinkClick r:id="rId17"/>
        </xdr:cNvPr>
        <xdr:cNvSpPr>
          <a:spLocks/>
        </xdr:cNvSpPr>
      </xdr:nvSpPr>
      <xdr:spPr>
        <a:xfrm>
          <a:off x="4181475" y="7210425"/>
          <a:ext cx="2447925" cy="4286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5</xdr:col>
      <xdr:colOff>371475</xdr:colOff>
      <xdr:row>28</xdr:row>
      <xdr:rowOff>190500</xdr:rowOff>
    </xdr:from>
    <xdr:to>
      <xdr:col>7</xdr:col>
      <xdr:colOff>1114425</xdr:colOff>
      <xdr:row>32</xdr:row>
      <xdr:rowOff>0</xdr:rowOff>
    </xdr:to>
    <xdr:sp>
      <xdr:nvSpPr>
        <xdr:cNvPr id="18" name="AutoShape 2">
          <a:hlinkClick r:id="rId18"/>
        </xdr:cNvPr>
        <xdr:cNvSpPr>
          <a:spLocks/>
        </xdr:cNvSpPr>
      </xdr:nvSpPr>
      <xdr:spPr>
        <a:xfrm>
          <a:off x="4391025" y="5724525"/>
          <a:ext cx="2238375" cy="5715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5.2 Actual Pricing</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19050</xdr:rowOff>
    </xdr:to>
    <xdr:sp>
      <xdr:nvSpPr>
        <xdr:cNvPr id="1" name="AutoShape 45">
          <a:hlinkClick r:id="rId1"/>
        </xdr:cNvPr>
        <xdr:cNvSpPr>
          <a:spLocks/>
        </xdr:cNvSpPr>
      </xdr:nvSpPr>
      <xdr:spPr>
        <a:xfrm>
          <a:off x="0" y="0"/>
          <a:ext cx="81915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19050</xdr:rowOff>
    </xdr:to>
    <xdr:sp>
      <xdr:nvSpPr>
        <xdr:cNvPr id="1" name="AutoShape 45">
          <a:hlinkClick r:id="rId1"/>
        </xdr:cNvPr>
        <xdr:cNvSpPr>
          <a:spLocks/>
        </xdr:cNvSpPr>
      </xdr:nvSpPr>
      <xdr:spPr>
        <a:xfrm>
          <a:off x="0" y="0"/>
          <a:ext cx="81915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419100</xdr:colOff>
      <xdr:row>38</xdr:row>
      <xdr:rowOff>76200</xdr:rowOff>
    </xdr:to>
    <xdr:pic>
      <xdr:nvPicPr>
        <xdr:cNvPr id="1" name="Picture 1"/>
        <xdr:cNvPicPr preferRelativeResize="1">
          <a:picLocks noChangeAspect="1"/>
        </xdr:cNvPicPr>
      </xdr:nvPicPr>
      <xdr:blipFill>
        <a:blip r:embed="rId1"/>
        <a:stretch>
          <a:fillRect/>
        </a:stretch>
      </xdr:blipFill>
      <xdr:spPr>
        <a:xfrm>
          <a:off x="0" y="0"/>
          <a:ext cx="4686300" cy="6229350"/>
        </a:xfrm>
        <a:prstGeom prst="rect">
          <a:avLst/>
        </a:prstGeom>
        <a:noFill/>
        <a:ln w="9525" cmpd="sng">
          <a:noFill/>
        </a:ln>
      </xdr:spPr>
    </xdr:pic>
    <xdr:clientData/>
  </xdr:twoCellAnchor>
  <xdr:twoCellAnchor editAs="oneCell">
    <xdr:from>
      <xdr:col>7</xdr:col>
      <xdr:colOff>419100</xdr:colOff>
      <xdr:row>0</xdr:row>
      <xdr:rowOff>0</xdr:rowOff>
    </xdr:from>
    <xdr:to>
      <xdr:col>15</xdr:col>
      <xdr:colOff>0</xdr:colOff>
      <xdr:row>38</xdr:row>
      <xdr:rowOff>76200</xdr:rowOff>
    </xdr:to>
    <xdr:pic>
      <xdr:nvPicPr>
        <xdr:cNvPr id="2" name="Picture 2"/>
        <xdr:cNvPicPr preferRelativeResize="1">
          <a:picLocks noChangeAspect="1"/>
        </xdr:cNvPicPr>
      </xdr:nvPicPr>
      <xdr:blipFill>
        <a:blip r:embed="rId2"/>
        <a:stretch>
          <a:fillRect/>
        </a:stretch>
      </xdr:blipFill>
      <xdr:spPr>
        <a:xfrm>
          <a:off x="4686300" y="0"/>
          <a:ext cx="4457700" cy="6229350"/>
        </a:xfrm>
        <a:prstGeom prst="rect">
          <a:avLst/>
        </a:prstGeom>
        <a:noFill/>
        <a:ln w="9525" cmpd="sng">
          <a:noFill/>
        </a:ln>
      </xdr:spPr>
    </xdr:pic>
    <xdr:clientData/>
  </xdr:twoCellAnchor>
  <xdr:twoCellAnchor editAs="oneCell">
    <xdr:from>
      <xdr:col>14</xdr:col>
      <xdr:colOff>609600</xdr:colOff>
      <xdr:row>0</xdr:row>
      <xdr:rowOff>57150</xdr:rowOff>
    </xdr:from>
    <xdr:to>
      <xdr:col>22</xdr:col>
      <xdr:colOff>295275</xdr:colOff>
      <xdr:row>38</xdr:row>
      <xdr:rowOff>133350</xdr:rowOff>
    </xdr:to>
    <xdr:pic>
      <xdr:nvPicPr>
        <xdr:cNvPr id="3" name="Picture 3"/>
        <xdr:cNvPicPr preferRelativeResize="1">
          <a:picLocks noChangeAspect="1"/>
        </xdr:cNvPicPr>
      </xdr:nvPicPr>
      <xdr:blipFill>
        <a:blip r:embed="rId3"/>
        <a:stretch>
          <a:fillRect/>
        </a:stretch>
      </xdr:blipFill>
      <xdr:spPr>
        <a:xfrm>
          <a:off x="9144000" y="57150"/>
          <a:ext cx="4562475" cy="62293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142875</xdr:rowOff>
    </xdr:to>
    <xdr:sp>
      <xdr:nvSpPr>
        <xdr:cNvPr id="1" name="AutoShape 45">
          <a:hlinkClick r:id="rId1"/>
        </xdr:cNvPr>
        <xdr:cNvSpPr>
          <a:spLocks/>
        </xdr:cNvSpPr>
      </xdr:nvSpPr>
      <xdr:spPr>
        <a:xfrm>
          <a:off x="0" y="0"/>
          <a:ext cx="762000" cy="4000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19050</xdr:rowOff>
    </xdr:to>
    <xdr:sp>
      <xdr:nvSpPr>
        <xdr:cNvPr id="1" name="AutoShape 45">
          <a:hlinkClick r:id="rId1"/>
        </xdr:cNvPr>
        <xdr:cNvSpPr>
          <a:spLocks/>
        </xdr:cNvSpPr>
      </xdr:nvSpPr>
      <xdr:spPr>
        <a:xfrm>
          <a:off x="0" y="0"/>
          <a:ext cx="81915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19050</xdr:rowOff>
    </xdr:to>
    <xdr:sp>
      <xdr:nvSpPr>
        <xdr:cNvPr id="1" name="AutoShape 45">
          <a:hlinkClick r:id="rId1"/>
        </xdr:cNvPr>
        <xdr:cNvSpPr>
          <a:spLocks/>
        </xdr:cNvSpPr>
      </xdr:nvSpPr>
      <xdr:spPr>
        <a:xfrm>
          <a:off x="0" y="0"/>
          <a:ext cx="790575"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9525</xdr:colOff>
      <xdr:row>1</xdr:row>
      <xdr:rowOff>104775</xdr:rowOff>
    </xdr:to>
    <xdr:sp>
      <xdr:nvSpPr>
        <xdr:cNvPr id="7" name="AutoShape 45">
          <a:hlinkClick r:id="rId4"/>
        </xdr:cNvPr>
        <xdr:cNvSpPr>
          <a:spLocks/>
        </xdr:cNvSpPr>
      </xdr:nvSpPr>
      <xdr:spPr>
        <a:xfrm>
          <a:off x="0" y="0"/>
          <a:ext cx="809625" cy="3619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781050</xdr:colOff>
      <xdr:row>1</xdr:row>
      <xdr:rowOff>0</xdr:rowOff>
    </xdr:to>
    <xdr:sp>
      <xdr:nvSpPr>
        <xdr:cNvPr id="1" name="AutoShape 45">
          <a:hlinkClick r:id="rId1"/>
        </xdr:cNvPr>
        <xdr:cNvSpPr>
          <a:spLocks/>
        </xdr:cNvSpPr>
      </xdr:nvSpPr>
      <xdr:spPr>
        <a:xfrm>
          <a:off x="0" y="0"/>
          <a:ext cx="78105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36</xdr:row>
      <xdr:rowOff>0</xdr:rowOff>
    </xdr:to>
    <xdr:pic>
      <xdr:nvPicPr>
        <xdr:cNvPr id="1" name="Picture 1"/>
        <xdr:cNvPicPr preferRelativeResize="1">
          <a:picLocks noChangeAspect="1"/>
        </xdr:cNvPicPr>
      </xdr:nvPicPr>
      <xdr:blipFill>
        <a:blip r:embed="rId1"/>
        <a:stretch>
          <a:fillRect/>
        </a:stretch>
      </xdr:blipFill>
      <xdr:spPr>
        <a:xfrm>
          <a:off x="0" y="0"/>
          <a:ext cx="4876800" cy="5829300"/>
        </a:xfrm>
        <a:prstGeom prst="rect">
          <a:avLst/>
        </a:prstGeom>
        <a:noFill/>
        <a:ln w="9525" cmpd="sng">
          <a:noFill/>
        </a:ln>
      </xdr:spPr>
    </xdr:pic>
    <xdr:clientData/>
  </xdr:twoCellAnchor>
  <xdr:twoCellAnchor editAs="oneCell">
    <xdr:from>
      <xdr:col>7</xdr:col>
      <xdr:colOff>609600</xdr:colOff>
      <xdr:row>0</xdr:row>
      <xdr:rowOff>76200</xdr:rowOff>
    </xdr:from>
    <xdr:to>
      <xdr:col>15</xdr:col>
      <xdr:colOff>428625</xdr:colOff>
      <xdr:row>36</xdr:row>
      <xdr:rowOff>76200</xdr:rowOff>
    </xdr:to>
    <xdr:pic>
      <xdr:nvPicPr>
        <xdr:cNvPr id="2" name="Picture 2"/>
        <xdr:cNvPicPr preferRelativeResize="1">
          <a:picLocks noChangeAspect="1"/>
        </xdr:cNvPicPr>
      </xdr:nvPicPr>
      <xdr:blipFill>
        <a:blip r:embed="rId2"/>
        <a:stretch>
          <a:fillRect/>
        </a:stretch>
      </xdr:blipFill>
      <xdr:spPr>
        <a:xfrm>
          <a:off x="4876800" y="76200"/>
          <a:ext cx="4695825" cy="5829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781050</xdr:colOff>
      <xdr:row>1</xdr:row>
      <xdr:rowOff>0</xdr:rowOff>
    </xdr:to>
    <xdr:sp>
      <xdr:nvSpPr>
        <xdr:cNvPr id="1" name="AutoShape 45">
          <a:hlinkClick r:id="rId1"/>
        </xdr:cNvPr>
        <xdr:cNvSpPr>
          <a:spLocks/>
        </xdr:cNvSpPr>
      </xdr:nvSpPr>
      <xdr:spPr>
        <a:xfrm>
          <a:off x="0" y="0"/>
          <a:ext cx="78105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1</xdr:row>
      <xdr:rowOff>9525</xdr:rowOff>
    </xdr:to>
    <xdr:sp>
      <xdr:nvSpPr>
        <xdr:cNvPr id="7" name="AutoShape 45">
          <a:hlinkClick r:id="rId4"/>
        </xdr:cNvPr>
        <xdr:cNvSpPr>
          <a:spLocks/>
        </xdr:cNvSpPr>
      </xdr:nvSpPr>
      <xdr:spPr>
        <a:xfrm>
          <a:off x="0" y="0"/>
          <a:ext cx="800100" cy="4476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171450</xdr:colOff>
      <xdr:row>0</xdr:row>
      <xdr:rowOff>161925</xdr:rowOff>
    </xdr:to>
    <xdr:sp>
      <xdr:nvSpPr>
        <xdr:cNvPr id="1" name="AutoShape 45">
          <a:hlinkClick r:id="rId1"/>
        </xdr:cNvPr>
        <xdr:cNvSpPr>
          <a:spLocks/>
        </xdr:cNvSpPr>
      </xdr:nvSpPr>
      <xdr:spPr>
        <a:xfrm>
          <a:off x="0" y="0"/>
          <a:ext cx="885825" cy="1619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01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01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1</xdr:row>
      <xdr:rowOff>0</xdr:rowOff>
    </xdr:to>
    <xdr:sp>
      <xdr:nvSpPr>
        <xdr:cNvPr id="7" name="AutoShape 45">
          <a:hlinkClick r:id="rId4"/>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266700</xdr:rowOff>
    </xdr:to>
    <xdr:sp>
      <xdr:nvSpPr>
        <xdr:cNvPr id="1" name="AutoShape 45">
          <a:hlinkClick r:id="rId1"/>
        </xdr:cNvPr>
        <xdr:cNvSpPr>
          <a:spLocks/>
        </xdr:cNvSpPr>
      </xdr:nvSpPr>
      <xdr:spPr>
        <a:xfrm>
          <a:off x="0" y="0"/>
          <a:ext cx="828675"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752475</xdr:colOff>
      <xdr:row>1</xdr:row>
      <xdr:rowOff>0</xdr:rowOff>
    </xdr:to>
    <xdr:sp>
      <xdr:nvSpPr>
        <xdr:cNvPr id="1" name="AutoShape 45">
          <a:hlinkClick r:id="rId1"/>
        </xdr:cNvPr>
        <xdr:cNvSpPr>
          <a:spLocks/>
        </xdr:cNvSpPr>
      </xdr:nvSpPr>
      <xdr:spPr>
        <a:xfrm>
          <a:off x="0" y="0"/>
          <a:ext cx="752475"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8001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yddata\group$\Finance\Reg%20Light%20Regulated%20Assets\FY20\5%20Moomba%20Sydney%20Pipline\Roll%20Foward%20Model\Summary%20of%20MSP%20RAB%20RFM%20Calc%20FY2004%20to%20FY20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yddata\group$\Finance\Reg%20Light%20Regulated%20Assets\FY20\5%20Moomba%20Sydney%20Pipline\RCM%20Rev%20and%20Opex\MSP%20RCM%20Revenue%20and%20Opex%20for%20FY04%20to%20FY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yddata\group$\Finance\Part%2023%20Reporting%20Non%20Scheme%20Assets\FY2021\1.%20Non%20Scheme%20Financial%20Reporting%20Template\4.%20MSP\Non-Scheme%20Pipeline%20Financial%20Reporting%20-%20MSP%20FY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yddata\group$\Finance\Reg%20Light%20Regulated%20Assets\FY21\5.%20MSP\RFM\Summary%20of%20MSP%20RAB%20RFM%20Calc%20FY2004%20to%20FY202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ok7"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ion Log"/>
      <sheetName val="3. Statement of pipeline assets"/>
      <sheetName val="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CM PL and Opex as at FY19"/>
      <sheetName val="4 Recovered capit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vision Log"/>
      <sheetName val="Cover"/>
      <sheetName val="Contents"/>
      <sheetName val="Summary"/>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Asset useful life"/>
      <sheetName val="3.2 Asset impairment"/>
      <sheetName val="3.3 Depreciation amortisation"/>
      <sheetName val="3.4 Shared supporting assets"/>
      <sheetName val="Auditor's Report Statements"/>
      <sheetName val="4. Recovered capital"/>
      <sheetName val="4.1 Pipelines capex"/>
      <sheetName val="Auditor's Review Report RCM"/>
      <sheetName val="5. Weighted average price"/>
      <sheetName val="5.1 Exempt WAP services"/>
      <sheetName val="Auditor's Review Report WAP"/>
      <sheetName val="6. Notes"/>
      <sheetName val="Amendment record"/>
      <sheetName val="APA Amendment record"/>
      <sheetName val="SUPPORT"/>
      <sheetName val="Checks"/>
      <sheetName val="A. Part 23 PL Reporting"/>
      <sheetName val="B. Part 23 BS Reporting"/>
      <sheetName val="C. Report Items"/>
      <sheetName val="D. TB"/>
      <sheetName val="E. Info from APA Website"/>
      <sheetName val="F. Info from ASIC Website"/>
      <sheetName val="G. Shared Opex"/>
      <sheetName val="G.1 DA Leased Assets"/>
      <sheetName val="H. PPE Appendix A"/>
      <sheetName val="I. Deferred Tax Asset Calc"/>
      <sheetName val="J. Pipeline Capex"/>
      <sheetName val="J.1 RCM Info w Cutoff adj"/>
      <sheetName val="J.2 Capex Cuf off Adj"/>
      <sheetName val="K. Shared Assets"/>
      <sheetName val="K.1 Shared Leased Assets"/>
      <sheetName val="K2. Instr to K.Shared assets"/>
      <sheetName val="L. Appendix A Pipeline Lives"/>
      <sheetName val="M. Acronyms for PL"/>
      <sheetName val="N. Construction Date Info"/>
      <sheetName val="O. Info MSP &amp; Compressors "/>
      <sheetName val="P. Exemption Letter"/>
      <sheetName val="Q. Zonal Services"/>
      <sheetName val="Data Validation L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ision Log"/>
      <sheetName val="3. Statement of pipeline assets"/>
      <sheetName val="Summary"/>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PORT"/>
      <sheetName val="Revision log"/>
      <sheetName val="APA Check"/>
      <sheetName val="Rates"/>
      <sheetName val="A. PL Workings"/>
      <sheetName val="B. Reported Items"/>
      <sheetName val="C. TB"/>
      <sheetName val="E. ASIC info"/>
      <sheetName val="F. Info from APA Website"/>
      <sheetName val="G. Nominal Depn Exp"/>
      <sheetName val="H. Shared Opex"/>
      <sheetName val="I. Shared Lease Asset"/>
      <sheetName val="J. DA Leased Assets "/>
      <sheetName val="L. Debt Raising Costs"/>
      <sheetName val="M.1 Pipeline asset useful life"/>
      <sheetName val="M.2  Appendix A Lives"/>
      <sheetName val="N. Tax Calculation "/>
      <sheetName val="O. WAP exemptions"/>
      <sheetName val="P. Restate Fin Summary 1.1.1"/>
      <sheetName val="Q. Restate PL_Depn&amp;BorrCost 1.2"/>
      <sheetName val="R. Restate Pipeline Assets 3.1"/>
    </sheetNames>
  </externalBook>
</externalLink>
</file>

<file path=xl/tables/table1.xml><?xml version="1.0" encoding="utf-8"?>
<table xmlns="http://schemas.openxmlformats.org/spreadsheetml/2006/main" id="1" name="Table1" displayName="Table1" ref="A2:G29" comment="" totalsRowShown="0">
  <autoFilter ref="A2:G29"/>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ables/table2.xml><?xml version="1.0" encoding="utf-8"?>
<table xmlns="http://schemas.openxmlformats.org/spreadsheetml/2006/main" id="36" name="Table136" displayName="Table136" ref="A2:G32" comment="" totalsRowShown="0">
  <autoFilter ref="A2:G32"/>
  <tableColumns count="7">
    <tableColumn id="1" name="Date"/>
    <tableColumn id="2" name="APA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ARegReporting@apa.com.a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0.x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J41"/>
  <sheetViews>
    <sheetView tabSelected="1" zoomScale="80" zoomScaleNormal="80"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37.14062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1">
      <c r="A1" s="1" t="s">
        <v>26</v>
      </c>
    </row>
    <row r="2" ht="21">
      <c r="A2" s="1" t="s">
        <v>161</v>
      </c>
    </row>
    <row r="4" ht="12.75">
      <c r="A4" s="3" t="s">
        <v>27</v>
      </c>
    </row>
    <row r="5" ht="13.5" thickBot="1"/>
    <row r="6" spans="1:9" ht="15">
      <c r="A6" s="377" t="s">
        <v>2</v>
      </c>
      <c r="B6" s="378"/>
      <c r="C6" s="378"/>
      <c r="D6" s="378"/>
      <c r="E6" s="378"/>
      <c r="F6" s="378"/>
      <c r="G6" s="378"/>
      <c r="H6" s="378"/>
      <c r="I6" s="379"/>
    </row>
    <row r="7" spans="1:9" ht="12.75">
      <c r="A7" s="386" t="s">
        <v>3</v>
      </c>
      <c r="B7" s="387"/>
      <c r="C7" s="387"/>
      <c r="D7" s="387"/>
      <c r="E7" s="387"/>
      <c r="F7" s="387"/>
      <c r="G7" s="387"/>
      <c r="H7" s="387"/>
      <c r="I7" s="388"/>
    </row>
    <row r="8" spans="1:9" ht="12.75">
      <c r="A8" s="383" t="s">
        <v>4</v>
      </c>
      <c r="B8" s="384"/>
      <c r="C8" s="384"/>
      <c r="D8" s="384"/>
      <c r="E8" s="384"/>
      <c r="F8" s="384"/>
      <c r="G8" s="384"/>
      <c r="H8" s="384"/>
      <c r="I8" s="385"/>
    </row>
    <row r="9" spans="1:9" ht="13.5" thickBot="1">
      <c r="A9" s="380" t="s">
        <v>5</v>
      </c>
      <c r="B9" s="381"/>
      <c r="C9" s="381"/>
      <c r="D9" s="381"/>
      <c r="E9" s="381"/>
      <c r="F9" s="381"/>
      <c r="G9" s="381"/>
      <c r="H9" s="381"/>
      <c r="I9" s="382"/>
    </row>
    <row r="10" spans="1:9" ht="12.75">
      <c r="A10" s="355"/>
      <c r="B10" s="356"/>
      <c r="C10" s="356"/>
      <c r="D10" s="356"/>
      <c r="E10" s="356"/>
      <c r="F10" s="356"/>
      <c r="G10" s="356"/>
      <c r="H10" s="356"/>
      <c r="I10" s="356"/>
    </row>
    <row r="11" spans="1:7" ht="12.75">
      <c r="A11" s="4" t="s">
        <v>6</v>
      </c>
      <c r="B11" s="5"/>
      <c r="C11" s="5"/>
      <c r="D11" s="6"/>
      <c r="E11" s="6"/>
      <c r="F11" s="6"/>
      <c r="G11" s="6"/>
    </row>
    <row r="12" ht="12.75">
      <c r="A12" s="7" t="s">
        <v>7</v>
      </c>
    </row>
    <row r="14" ht="12.75">
      <c r="J14" s="8"/>
    </row>
    <row r="15" spans="1:5" ht="17.25">
      <c r="A15" s="9" t="s">
        <v>211</v>
      </c>
      <c r="B15" s="10"/>
      <c r="C15" s="365" t="s">
        <v>389</v>
      </c>
      <c r="D15" s="366"/>
      <c r="E15" s="366"/>
    </row>
    <row r="16" spans="1:2" ht="17.25">
      <c r="A16" s="11"/>
      <c r="B16" s="11"/>
    </row>
    <row r="17" spans="1:5" ht="17.25">
      <c r="A17" s="9" t="s">
        <v>28</v>
      </c>
      <c r="B17" s="10"/>
      <c r="C17" s="365" t="s">
        <v>559</v>
      </c>
      <c r="D17" s="366"/>
      <c r="E17" s="366"/>
    </row>
    <row r="18" spans="1:5" ht="17.25">
      <c r="A18" s="11"/>
      <c r="B18" s="11"/>
      <c r="C18" s="360"/>
      <c r="D18" s="361"/>
      <c r="E18" s="361"/>
    </row>
    <row r="19" spans="1:8" ht="17.25">
      <c r="A19" s="12" t="s">
        <v>212</v>
      </c>
      <c r="B19" s="13"/>
      <c r="C19" s="362" t="s">
        <v>390</v>
      </c>
      <c r="D19" s="363"/>
      <c r="E19" s="364"/>
      <c r="H19" s="148"/>
    </row>
    <row r="21" spans="1:5" ht="17.25">
      <c r="A21" s="12" t="s">
        <v>162</v>
      </c>
      <c r="B21" s="13"/>
      <c r="C21" s="367">
        <v>44013</v>
      </c>
      <c r="D21" s="368"/>
      <c r="E21" s="369"/>
    </row>
    <row r="23" spans="1:5" ht="17.25">
      <c r="A23" s="12" t="s">
        <v>163</v>
      </c>
      <c r="B23" s="13"/>
      <c r="C23" s="367">
        <v>44377</v>
      </c>
      <c r="D23" s="368"/>
      <c r="E23" s="369"/>
    </row>
    <row r="25" spans="1:5" ht="17.25">
      <c r="A25" s="189" t="s">
        <v>241</v>
      </c>
      <c r="B25" s="190"/>
      <c r="C25" s="367">
        <v>37803</v>
      </c>
      <c r="D25" s="368"/>
      <c r="E25" s="369"/>
    </row>
    <row r="27" ht="13.5" thickBot="1"/>
    <row r="28" spans="1:8" ht="12.75">
      <c r="A28" s="64"/>
      <c r="B28" s="65"/>
      <c r="C28" s="65"/>
      <c r="D28" s="65"/>
      <c r="E28" s="66"/>
      <c r="F28" s="66"/>
      <c r="G28" s="66"/>
      <c r="H28" s="67"/>
    </row>
    <row r="29" spans="1:8" ht="12.75">
      <c r="A29" s="68" t="s">
        <v>8</v>
      </c>
      <c r="B29" s="353" t="s">
        <v>9</v>
      </c>
      <c r="C29" s="354"/>
      <c r="D29" s="357" t="s">
        <v>369</v>
      </c>
      <c r="E29" s="358"/>
      <c r="F29" s="358"/>
      <c r="G29" s="359"/>
      <c r="H29" s="70"/>
    </row>
    <row r="30" spans="1:8" ht="12.75">
      <c r="A30" s="68"/>
      <c r="B30" s="353" t="s">
        <v>10</v>
      </c>
      <c r="C30" s="354"/>
      <c r="D30" s="357" t="s">
        <v>370</v>
      </c>
      <c r="E30" s="358"/>
      <c r="F30" s="358"/>
      <c r="G30" s="359"/>
      <c r="H30" s="70"/>
    </row>
    <row r="31" spans="1:8" ht="12.75">
      <c r="A31" s="68"/>
      <c r="B31" s="71"/>
      <c r="C31" s="69" t="s">
        <v>11</v>
      </c>
      <c r="D31" s="72" t="s">
        <v>371</v>
      </c>
      <c r="E31" s="69" t="s">
        <v>12</v>
      </c>
      <c r="F31" s="72">
        <v>2000</v>
      </c>
      <c r="G31" s="73"/>
      <c r="H31" s="74"/>
    </row>
    <row r="32" spans="1:8" ht="12.75">
      <c r="A32" s="68"/>
      <c r="B32" s="71"/>
      <c r="C32" s="71"/>
      <c r="D32" s="71"/>
      <c r="E32" s="73"/>
      <c r="F32" s="71"/>
      <c r="G32" s="73"/>
      <c r="H32" s="75"/>
    </row>
    <row r="33" spans="1:8" ht="12.75">
      <c r="A33" s="68" t="s">
        <v>13</v>
      </c>
      <c r="B33" s="353" t="s">
        <v>9</v>
      </c>
      <c r="C33" s="354"/>
      <c r="D33" s="373" t="s">
        <v>372</v>
      </c>
      <c r="E33" s="373"/>
      <c r="F33" s="373"/>
      <c r="G33" s="373"/>
      <c r="H33" s="76"/>
    </row>
    <row r="34" spans="1:8" ht="12.75">
      <c r="A34" s="68"/>
      <c r="B34" s="353" t="s">
        <v>10</v>
      </c>
      <c r="C34" s="354"/>
      <c r="D34" s="373" t="s">
        <v>377</v>
      </c>
      <c r="E34" s="373"/>
      <c r="F34" s="373"/>
      <c r="G34" s="373"/>
      <c r="H34" s="76"/>
    </row>
    <row r="35" spans="1:8" ht="12.75">
      <c r="A35" s="77"/>
      <c r="B35" s="71"/>
      <c r="C35" s="69" t="s">
        <v>11</v>
      </c>
      <c r="D35" s="72" t="s">
        <v>371</v>
      </c>
      <c r="E35" s="69" t="s">
        <v>12</v>
      </c>
      <c r="F35" s="72">
        <v>1225</v>
      </c>
      <c r="G35" s="73"/>
      <c r="H35" s="74"/>
    </row>
    <row r="36" spans="1:8" ht="13.5" thickBot="1">
      <c r="A36" s="78"/>
      <c r="B36" s="79"/>
      <c r="C36" s="79"/>
      <c r="D36" s="79"/>
      <c r="E36" s="80"/>
      <c r="F36" s="80"/>
      <c r="G36" s="80"/>
      <c r="H36" s="81"/>
    </row>
    <row r="37" spans="1:8" ht="12.75">
      <c r="A37" s="64"/>
      <c r="B37" s="65"/>
      <c r="C37" s="65"/>
      <c r="D37" s="65"/>
      <c r="E37" s="66"/>
      <c r="F37" s="66"/>
      <c r="G37" s="66"/>
      <c r="H37" s="67"/>
    </row>
    <row r="38" spans="1:8" ht="12.75">
      <c r="A38" s="68" t="s">
        <v>14</v>
      </c>
      <c r="B38" s="357" t="s">
        <v>551</v>
      </c>
      <c r="C38" s="358"/>
      <c r="D38" s="374"/>
      <c r="E38" s="374"/>
      <c r="F38" s="375"/>
      <c r="G38" s="73"/>
      <c r="H38" s="75"/>
    </row>
    <row r="39" spans="1:8" ht="12.75">
      <c r="A39" s="68" t="s">
        <v>15</v>
      </c>
      <c r="B39" s="376" t="s">
        <v>552</v>
      </c>
      <c r="C39" s="358"/>
      <c r="D39" s="358"/>
      <c r="E39" s="358"/>
      <c r="F39" s="359"/>
      <c r="G39" s="73"/>
      <c r="H39" s="75"/>
    </row>
    <row r="40" spans="1:8" ht="12.75">
      <c r="A40" s="68" t="s">
        <v>16</v>
      </c>
      <c r="B40" s="370" t="s">
        <v>525</v>
      </c>
      <c r="C40" s="371"/>
      <c r="D40" s="371"/>
      <c r="E40" s="371"/>
      <c r="F40" s="372"/>
      <c r="G40" s="73"/>
      <c r="H40" s="75"/>
    </row>
    <row r="41" spans="1:8" ht="13.5" thickBot="1">
      <c r="A41" s="78"/>
      <c r="B41" s="79"/>
      <c r="C41" s="79"/>
      <c r="D41" s="79"/>
      <c r="E41" s="80"/>
      <c r="F41" s="80"/>
      <c r="G41" s="80"/>
      <c r="H41" s="81"/>
    </row>
  </sheetData>
  <sheetProtection/>
  <mergeCells count="23">
    <mergeCell ref="A6:I6"/>
    <mergeCell ref="A9:I9"/>
    <mergeCell ref="A8:I8"/>
    <mergeCell ref="B29:C29"/>
    <mergeCell ref="D29:G29"/>
    <mergeCell ref="C17:E17"/>
    <mergeCell ref="C21:E21"/>
    <mergeCell ref="C25:E25"/>
    <mergeCell ref="A7:I7"/>
    <mergeCell ref="B40:F40"/>
    <mergeCell ref="B34:C34"/>
    <mergeCell ref="D34:G34"/>
    <mergeCell ref="B38:F38"/>
    <mergeCell ref="B39:F39"/>
    <mergeCell ref="D33:G33"/>
    <mergeCell ref="B33:C33"/>
    <mergeCell ref="B30:C30"/>
    <mergeCell ref="A10:I10"/>
    <mergeCell ref="D30:G30"/>
    <mergeCell ref="C18:E18"/>
    <mergeCell ref="C19:E19"/>
    <mergeCell ref="C15:E15"/>
    <mergeCell ref="C23:E23"/>
  </mergeCells>
  <hyperlinks>
    <hyperlink ref="B40" r:id="rId1" display="APARegReporting@apa.com.au"/>
  </hyperlinks>
  <printOptions/>
  <pageMargins left="0.7480314960629921" right="0.7480314960629921" top="0.984251968503937" bottom="0.984251968503937" header="0.5118110236220472" footer="0.5118110236220472"/>
  <pageSetup fitToHeight="1" fitToWidth="1" horizontalDpi="600" verticalDpi="600" orientation="portrait" paperSize="9" scale="65" r:id="rId2"/>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W94"/>
  <sheetViews>
    <sheetView zoomScale="80" zoomScaleNormal="80" zoomScalePageLayoutView="0" workbookViewId="0" topLeftCell="A1">
      <pane xSplit="3" ySplit="11" topLeftCell="D12" activePane="bottomRight" state="frozen"/>
      <selection pane="topLeft" activeCell="C11" sqref="C11:E11"/>
      <selection pane="topRight" activeCell="C11" sqref="C11:E11"/>
      <selection pane="bottomLeft" activeCell="C11" sqref="C11:E11"/>
      <selection pane="bottomRight" activeCell="A1" sqref="A1"/>
    </sheetView>
  </sheetViews>
  <sheetFormatPr defaultColWidth="9.140625" defaultRowHeight="12.75"/>
  <cols>
    <col min="1" max="1" width="12.00390625" style="40" customWidth="1"/>
    <col min="2" max="2" width="21.7109375" style="40" customWidth="1"/>
    <col min="3" max="3" width="61.00390625" style="40" bestFit="1" customWidth="1"/>
    <col min="4" max="4" width="22.28125" style="40" customWidth="1"/>
    <col min="5" max="22" width="20.7109375" style="40" customWidth="1"/>
    <col min="23" max="23" width="12.421875" style="40" bestFit="1" customWidth="1"/>
    <col min="24" max="16384" width="9.140625" style="40" customWidth="1"/>
  </cols>
  <sheetData>
    <row r="1" spans="2:3" ht="20.25">
      <c r="B1" s="400" t="s">
        <v>196</v>
      </c>
      <c r="C1" s="400"/>
    </row>
    <row r="2" spans="3:6" ht="15">
      <c r="C2" s="151" t="str">
        <f>Tradingname</f>
        <v>EAST AUSTRALIAN PIPELINE PTY LIMITED</v>
      </c>
      <c r="D2" s="152"/>
      <c r="E2" s="152"/>
      <c r="F2" s="152"/>
    </row>
    <row r="3" spans="3:6" ht="15">
      <c r="C3" s="153" t="s">
        <v>180</v>
      </c>
      <c r="D3" s="154">
        <f>Yearending</f>
        <v>44377</v>
      </c>
      <c r="E3" s="154"/>
      <c r="F3" s="154"/>
    </row>
    <row r="4" spans="3:6" ht="15">
      <c r="C4" s="153" t="s">
        <v>245</v>
      </c>
      <c r="D4" s="154">
        <f>Cover!C25</f>
        <v>37803</v>
      </c>
      <c r="E4" s="154"/>
      <c r="F4" s="154"/>
    </row>
    <row r="5" spans="3:21" ht="15">
      <c r="C5" s="153" t="s">
        <v>246</v>
      </c>
      <c r="D5" s="215">
        <v>859326892.4120444</v>
      </c>
      <c r="E5" s="154"/>
      <c r="F5" s="154"/>
      <c r="G5" s="106"/>
      <c r="H5" s="106"/>
      <c r="I5" s="106"/>
      <c r="J5" s="106"/>
      <c r="K5" s="106"/>
      <c r="L5" s="106"/>
      <c r="M5" s="106"/>
      <c r="N5" s="106"/>
      <c r="O5" s="106"/>
      <c r="P5" s="106"/>
      <c r="Q5" s="106"/>
      <c r="R5" s="106"/>
      <c r="S5" s="106"/>
      <c r="T5" s="106"/>
      <c r="U5" s="106"/>
    </row>
    <row r="6" spans="4:21" ht="12.75">
      <c r="D6" s="106"/>
      <c r="E6" s="106"/>
      <c r="F6" s="106"/>
      <c r="G6" s="106"/>
      <c r="H6" s="106"/>
      <c r="I6" s="106"/>
      <c r="J6" s="106"/>
      <c r="K6" s="106"/>
      <c r="L6" s="106"/>
      <c r="M6" s="106"/>
      <c r="N6" s="106"/>
      <c r="O6" s="106"/>
      <c r="P6" s="106"/>
      <c r="Q6" s="106"/>
      <c r="R6" s="106"/>
      <c r="S6" s="106"/>
      <c r="T6" s="106"/>
      <c r="U6" s="106"/>
    </row>
    <row r="7" spans="2:21" ht="15.75">
      <c r="B7" s="391" t="s">
        <v>197</v>
      </c>
      <c r="C7" s="391"/>
      <c r="D7" s="175"/>
      <c r="E7" s="175"/>
      <c r="F7" s="175"/>
      <c r="G7" s="175"/>
      <c r="H7" s="175"/>
      <c r="I7" s="175"/>
      <c r="J7" s="175"/>
      <c r="K7" s="175"/>
      <c r="L7" s="175"/>
      <c r="M7" s="175"/>
      <c r="N7" s="175"/>
      <c r="O7" s="175"/>
      <c r="P7" s="175"/>
      <c r="Q7" s="175"/>
      <c r="R7" s="175"/>
      <c r="S7" s="175"/>
      <c r="T7" s="175"/>
      <c r="U7" s="175"/>
    </row>
    <row r="8" spans="4:22" ht="12.75">
      <c r="D8" s="390" t="s">
        <v>83</v>
      </c>
      <c r="E8" s="390"/>
      <c r="F8" s="390"/>
      <c r="G8" s="390"/>
      <c r="H8" s="390"/>
      <c r="I8" s="390"/>
      <c r="J8" s="390"/>
      <c r="K8" s="390"/>
      <c r="L8" s="390"/>
      <c r="M8" s="390"/>
      <c r="N8" s="390"/>
      <c r="O8" s="390"/>
      <c r="P8" s="390"/>
      <c r="Q8" s="390"/>
      <c r="R8" s="390"/>
      <c r="S8" s="390"/>
      <c r="T8" s="390"/>
      <c r="U8" s="390"/>
      <c r="V8" s="390"/>
    </row>
    <row r="9" spans="2:23" ht="38.25">
      <c r="B9" s="122" t="s">
        <v>219</v>
      </c>
      <c r="C9" s="124" t="s">
        <v>19</v>
      </c>
      <c r="D9" s="212" t="str">
        <f>YEAR(Cover!$C$25)-1&amp;"-"&amp;RIGHT(YEAR(Cover!$C$25),2)</f>
        <v>2002-03</v>
      </c>
      <c r="E9" s="213" t="str">
        <f>YEAR(Cover!$C$25)&amp;"-"&amp;RIGHT(YEAR(Cover!$C$25)+1,2)</f>
        <v>2003-04</v>
      </c>
      <c r="F9" s="213" t="str">
        <f>YEAR(Cover!$C$25)+1&amp;"-"&amp;RIGHT(YEAR(Cover!$C$25)+2,2)</f>
        <v>2004-05</v>
      </c>
      <c r="G9" s="213" t="str">
        <f>YEAR(Cover!$C$25)+2&amp;"-"&amp;RIGHT(YEAR(Cover!$C$25)+3,2)</f>
        <v>2005-06</v>
      </c>
      <c r="H9" s="213" t="str">
        <f>YEAR(Cover!$C$25)+3&amp;"-"&amp;RIGHT(YEAR(Cover!$C$25)+4,2)</f>
        <v>2006-07</v>
      </c>
      <c r="I9" s="213" t="str">
        <f>YEAR(Cover!$C$25)+4&amp;"-"&amp;RIGHT(YEAR(Cover!$C$25)+5,2)</f>
        <v>2007-08</v>
      </c>
      <c r="J9" s="213" t="str">
        <f>YEAR(Cover!$C$25)+5&amp;"-"&amp;RIGHT(YEAR(Cover!$C$25)+6,2)</f>
        <v>2008-09</v>
      </c>
      <c r="K9" s="213" t="str">
        <f>YEAR(Cover!$C$25)+6&amp;"-"&amp;RIGHT(YEAR(Cover!$C$25)+7,2)</f>
        <v>2009-10</v>
      </c>
      <c r="L9" s="213" t="str">
        <f>YEAR(Cover!$C$25)+7&amp;"-"&amp;RIGHT(YEAR(Cover!$C$25)+8,2)</f>
        <v>2010-11</v>
      </c>
      <c r="M9" s="213" t="str">
        <f>YEAR(Cover!$C$25)+8&amp;"-"&amp;RIGHT(YEAR(Cover!$C$25)+9,2)</f>
        <v>2011-12</v>
      </c>
      <c r="N9" s="213" t="str">
        <f>YEAR(Cover!$C$25)+9&amp;"-"&amp;RIGHT(YEAR(Cover!$C$25)+10,2)</f>
        <v>2012-13</v>
      </c>
      <c r="O9" s="213" t="str">
        <f>YEAR(Cover!$C$25)+10&amp;"-"&amp;RIGHT(YEAR(Cover!$C$25)+11,2)</f>
        <v>2013-14</v>
      </c>
      <c r="P9" s="213" t="str">
        <f>YEAR(Cover!$C$25)+11&amp;"-"&amp;RIGHT(YEAR(Cover!$C$25)+12,2)</f>
        <v>2014-15</v>
      </c>
      <c r="Q9" s="213" t="str">
        <f>YEAR(Cover!$C$25)+12&amp;"-"&amp;RIGHT(YEAR(Cover!$C$25)+13,2)</f>
        <v>2015-16</v>
      </c>
      <c r="R9" s="213" t="str">
        <f>YEAR(Cover!$C$25)+13&amp;"-"&amp;RIGHT(YEAR(Cover!$C$25)+14,2)</f>
        <v>2016-17</v>
      </c>
      <c r="S9" s="213" t="str">
        <f>YEAR(Cover!$C$25)+14&amp;"-"&amp;RIGHT(YEAR(Cover!$C$25)+15,2)</f>
        <v>2017-18</v>
      </c>
      <c r="T9" s="213" t="str">
        <f>YEAR(Cover!$C$25)+15&amp;"-"&amp;RIGHT(YEAR(Cover!$C$25)+16,2)</f>
        <v>2018-19</v>
      </c>
      <c r="U9" s="213" t="str">
        <f>YEAR(Cover!$C$25)+16&amp;"-"&amp;RIGHT(YEAR(Cover!$C$25)+17,2)</f>
        <v>2019-20</v>
      </c>
      <c r="V9" s="213" t="str">
        <f>YEAR(Cover!$C$21)&amp;"-"&amp;RIGHT(YEAR(Cover!$C$23),2)</f>
        <v>2020-21</v>
      </c>
      <c r="W9" s="47"/>
    </row>
    <row r="10" spans="2:22" ht="12.75">
      <c r="B10" s="122"/>
      <c r="C10" s="124"/>
      <c r="D10" s="191"/>
      <c r="E10" s="191"/>
      <c r="F10" s="191"/>
      <c r="G10" s="191"/>
      <c r="H10" s="191"/>
      <c r="I10" s="191"/>
      <c r="J10" s="191"/>
      <c r="K10" s="191"/>
      <c r="L10" s="191"/>
      <c r="M10" s="191"/>
      <c r="N10" s="191"/>
      <c r="O10" s="191"/>
      <c r="P10" s="191"/>
      <c r="Q10" s="191"/>
      <c r="R10" s="191"/>
      <c r="S10" s="191"/>
      <c r="T10" s="191"/>
      <c r="U10" s="191"/>
      <c r="V10" s="214"/>
    </row>
    <row r="11" spans="2:22" ht="12.75">
      <c r="B11" s="123"/>
      <c r="C11" s="125" t="s">
        <v>140</v>
      </c>
      <c r="D11" s="130" t="s">
        <v>204</v>
      </c>
      <c r="E11" s="130" t="s">
        <v>204</v>
      </c>
      <c r="F11" s="130" t="s">
        <v>204</v>
      </c>
      <c r="G11" s="130" t="s">
        <v>204</v>
      </c>
      <c r="H11" s="130" t="s">
        <v>204</v>
      </c>
      <c r="I11" s="130" t="s">
        <v>204</v>
      </c>
      <c r="J11" s="130" t="s">
        <v>204</v>
      </c>
      <c r="K11" s="130" t="s">
        <v>204</v>
      </c>
      <c r="L11" s="130" t="s">
        <v>204</v>
      </c>
      <c r="M11" s="130" t="s">
        <v>204</v>
      </c>
      <c r="N11" s="130" t="s">
        <v>204</v>
      </c>
      <c r="O11" s="130" t="s">
        <v>204</v>
      </c>
      <c r="P11" s="130" t="s">
        <v>204</v>
      </c>
      <c r="Q11" s="130" t="s">
        <v>204</v>
      </c>
      <c r="R11" s="130" t="s">
        <v>204</v>
      </c>
      <c r="S11" s="130" t="s">
        <v>204</v>
      </c>
      <c r="T11" s="130" t="s">
        <v>204</v>
      </c>
      <c r="U11" s="130" t="s">
        <v>204</v>
      </c>
      <c r="V11" s="130" t="s">
        <v>204</v>
      </c>
    </row>
    <row r="12" spans="2:23" ht="12.75">
      <c r="B12" s="337">
        <v>3.4</v>
      </c>
      <c r="C12" s="126" t="s">
        <v>242</v>
      </c>
      <c r="D12" s="215"/>
      <c r="E12" s="216">
        <f>D17</f>
        <v>859326892.4120444</v>
      </c>
      <c r="F12" s="216">
        <f>E17</f>
        <v>871101811.135688</v>
      </c>
      <c r="G12" s="216">
        <f>F17</f>
        <v>883770182.6606317</v>
      </c>
      <c r="H12" s="216">
        <f aca="true" t="shared" si="0" ref="H12:M12">G17</f>
        <v>907488437.338906</v>
      </c>
      <c r="I12" s="216">
        <f t="shared" si="0"/>
        <v>914327821.023161</v>
      </c>
      <c r="J12" s="216">
        <f t="shared" si="0"/>
        <v>945651188.4966948</v>
      </c>
      <c r="K12" s="216">
        <f t="shared" si="0"/>
        <v>968542721.4732726</v>
      </c>
      <c r="L12" s="216">
        <f t="shared" si="0"/>
        <v>1005467798.0662936</v>
      </c>
      <c r="M12" s="216">
        <f t="shared" si="0"/>
        <v>1074373150.263693</v>
      </c>
      <c r="N12" s="216">
        <f aca="true" t="shared" si="1" ref="N12:T12">M17</f>
        <v>1081259913.4255042</v>
      </c>
      <c r="O12" s="216">
        <f t="shared" si="1"/>
        <v>1129906353.4497914</v>
      </c>
      <c r="P12" s="216">
        <f t="shared" si="1"/>
        <v>1178411930.1068318</v>
      </c>
      <c r="Q12" s="216">
        <f t="shared" si="1"/>
        <v>1197897027.4543417</v>
      </c>
      <c r="R12" s="216">
        <f t="shared" si="1"/>
        <v>1207604988.502673</v>
      </c>
      <c r="S12" s="216">
        <f t="shared" si="1"/>
        <v>1293912499.7216687</v>
      </c>
      <c r="T12" s="216">
        <f t="shared" si="1"/>
        <v>1337899605.8701236</v>
      </c>
      <c r="U12" s="216">
        <f>T17</f>
        <v>1352359584.3308337</v>
      </c>
      <c r="V12" s="216">
        <f>U17</f>
        <v>1371979957.0263634</v>
      </c>
      <c r="W12" s="341"/>
    </row>
    <row r="13" spans="2:23" ht="12.75">
      <c r="B13" s="337">
        <v>3.4</v>
      </c>
      <c r="C13" s="126" t="s">
        <v>243</v>
      </c>
      <c r="D13" s="215"/>
      <c r="E13" s="215">
        <v>1519820.0909506916</v>
      </c>
      <c r="F13" s="215">
        <v>2334258.3973917146</v>
      </c>
      <c r="G13" s="215">
        <v>216370.8265400072</v>
      </c>
      <c r="H13" s="215">
        <v>119046.70328936334</v>
      </c>
      <c r="I13" s="215">
        <v>2458409.2927711266</v>
      </c>
      <c r="J13" s="215">
        <v>22044491.68647429</v>
      </c>
      <c r="K13" s="215">
        <v>20756405.88912256</v>
      </c>
      <c r="L13" s="215">
        <v>46769277.888787925</v>
      </c>
      <c r="M13" s="215">
        <v>9432524.046125337</v>
      </c>
      <c r="N13" s="215">
        <v>38297527.4248224</v>
      </c>
      <c r="O13" s="215">
        <v>30721617.11635405</v>
      </c>
      <c r="P13" s="215">
        <v>18856851.685070824</v>
      </c>
      <c r="Q13" s="215">
        <v>15125086.25400648</v>
      </c>
      <c r="R13" s="215">
        <v>81002565.05892906</v>
      </c>
      <c r="S13" s="215">
        <v>36531257.62109663</v>
      </c>
      <c r="T13" s="215">
        <v>13445685.612870421</v>
      </c>
      <c r="U13" s="215">
        <v>45123878.7285169</v>
      </c>
      <c r="V13" s="215">
        <v>20064737.03581621</v>
      </c>
      <c r="W13" s="341"/>
    </row>
    <row r="14" spans="2:23" ht="12.75">
      <c r="B14" s="169"/>
      <c r="C14" s="128" t="s">
        <v>139</v>
      </c>
      <c r="D14" s="216">
        <f>D5</f>
        <v>859326892.4120444</v>
      </c>
      <c r="E14" s="216">
        <f>E12+E13</f>
        <v>860846712.5029951</v>
      </c>
      <c r="F14" s="216">
        <f>F12+F13</f>
        <v>873436069.5330796</v>
      </c>
      <c r="G14" s="216">
        <f>G12+G13</f>
        <v>883986553.4871716</v>
      </c>
      <c r="H14" s="216">
        <f aca="true" t="shared" si="2" ref="H14:M14">H12+H13</f>
        <v>907607484.0421954</v>
      </c>
      <c r="I14" s="216">
        <f t="shared" si="2"/>
        <v>916786230.3159322</v>
      </c>
      <c r="J14" s="216">
        <f t="shared" si="2"/>
        <v>967695680.1831691</v>
      </c>
      <c r="K14" s="216">
        <f t="shared" si="2"/>
        <v>989299127.3623952</v>
      </c>
      <c r="L14" s="216">
        <f t="shared" si="2"/>
        <v>1052237075.9550815</v>
      </c>
      <c r="M14" s="216">
        <f t="shared" si="2"/>
        <v>1083805674.3098185</v>
      </c>
      <c r="N14" s="216">
        <f aca="true" t="shared" si="3" ref="N14:V14">N12+N13</f>
        <v>1119557440.8503265</v>
      </c>
      <c r="O14" s="216">
        <f t="shared" si="3"/>
        <v>1160627970.5661454</v>
      </c>
      <c r="P14" s="216">
        <f t="shared" si="3"/>
        <v>1197268781.7919025</v>
      </c>
      <c r="Q14" s="216">
        <f t="shared" si="3"/>
        <v>1213022113.708348</v>
      </c>
      <c r="R14" s="216">
        <f t="shared" si="3"/>
        <v>1288607553.5616019</v>
      </c>
      <c r="S14" s="216">
        <f t="shared" si="3"/>
        <v>1330443757.3427653</v>
      </c>
      <c r="T14" s="216">
        <f t="shared" si="3"/>
        <v>1351345291.482994</v>
      </c>
      <c r="U14" s="216">
        <f t="shared" si="3"/>
        <v>1397483463.0593505</v>
      </c>
      <c r="V14" s="216">
        <f t="shared" si="3"/>
        <v>1392044694.0621796</v>
      </c>
      <c r="W14" s="341"/>
    </row>
    <row r="15" spans="2:23" ht="12.75">
      <c r="B15" s="337">
        <v>3.4</v>
      </c>
      <c r="C15" s="126" t="s">
        <v>262</v>
      </c>
      <c r="D15" s="215"/>
      <c r="E15" s="215">
        <v>0</v>
      </c>
      <c r="F15" s="215">
        <v>0</v>
      </c>
      <c r="G15" s="215">
        <v>0</v>
      </c>
      <c r="H15" s="215">
        <v>0</v>
      </c>
      <c r="I15" s="215">
        <v>0</v>
      </c>
      <c r="J15" s="215">
        <v>0</v>
      </c>
      <c r="K15" s="215">
        <v>0</v>
      </c>
      <c r="L15" s="215">
        <v>0</v>
      </c>
      <c r="M15" s="215">
        <v>0</v>
      </c>
      <c r="N15" s="215">
        <v>0</v>
      </c>
      <c r="O15" s="215">
        <v>0</v>
      </c>
      <c r="P15" s="215">
        <v>0</v>
      </c>
      <c r="Q15" s="215">
        <v>0</v>
      </c>
      <c r="R15" s="215">
        <v>0</v>
      </c>
      <c r="S15" s="215">
        <v>0</v>
      </c>
      <c r="T15" s="215">
        <v>0</v>
      </c>
      <c r="U15" s="215">
        <v>0</v>
      </c>
      <c r="V15" s="215">
        <v>0</v>
      </c>
      <c r="W15" s="341"/>
    </row>
    <row r="16" spans="2:23" ht="12.75">
      <c r="B16" s="337">
        <v>3.4</v>
      </c>
      <c r="C16" s="126" t="s">
        <v>244</v>
      </c>
      <c r="D16" s="215"/>
      <c r="E16" s="215">
        <v>10255098.632692862</v>
      </c>
      <c r="F16" s="215">
        <v>10334113.127552086</v>
      </c>
      <c r="G16" s="215">
        <v>23501883.851734377</v>
      </c>
      <c r="H16" s="215">
        <v>6720336.980965639</v>
      </c>
      <c r="I16" s="215">
        <v>28864958.180762704</v>
      </c>
      <c r="J16" s="215">
        <v>847041.2901034408</v>
      </c>
      <c r="K16" s="215">
        <v>16168670.70389842</v>
      </c>
      <c r="L16" s="215">
        <v>22136074.30861171</v>
      </c>
      <c r="M16" s="215">
        <v>-2545760.884314372</v>
      </c>
      <c r="N16" s="215">
        <v>10348912.599464819</v>
      </c>
      <c r="O16" s="215">
        <v>17783959.540686354</v>
      </c>
      <c r="P16" s="215">
        <v>628245.6624390669</v>
      </c>
      <c r="Q16" s="215">
        <v>-5417125.205675152</v>
      </c>
      <c r="R16" s="215">
        <v>5304946.160066937</v>
      </c>
      <c r="S16" s="215">
        <v>7455848.52735827</v>
      </c>
      <c r="T16" s="215">
        <v>1014292.8478396059</v>
      </c>
      <c r="U16" s="215">
        <v>-25503506.03298721</v>
      </c>
      <c r="V16" s="215">
        <v>31487369.07775891</v>
      </c>
      <c r="W16" s="341"/>
    </row>
    <row r="17" spans="2:23" ht="12.75">
      <c r="B17" s="169"/>
      <c r="C17" s="128" t="s">
        <v>71</v>
      </c>
      <c r="D17" s="216">
        <f>SUM(D14:D16)</f>
        <v>859326892.4120444</v>
      </c>
      <c r="E17" s="216">
        <f>SUM(E14:E16)</f>
        <v>871101811.135688</v>
      </c>
      <c r="F17" s="216">
        <f>SUM(F14:F16)</f>
        <v>883770182.6606317</v>
      </c>
      <c r="G17" s="216">
        <f>SUM(G14:G16)</f>
        <v>907488437.338906</v>
      </c>
      <c r="H17" s="216">
        <f aca="true" t="shared" si="4" ref="H17:M17">SUM(H14:H16)</f>
        <v>914327821.023161</v>
      </c>
      <c r="I17" s="216">
        <f t="shared" si="4"/>
        <v>945651188.4966948</v>
      </c>
      <c r="J17" s="216">
        <f t="shared" si="4"/>
        <v>968542721.4732726</v>
      </c>
      <c r="K17" s="216">
        <f t="shared" si="4"/>
        <v>1005467798.0662936</v>
      </c>
      <c r="L17" s="216">
        <f t="shared" si="4"/>
        <v>1074373150.263693</v>
      </c>
      <c r="M17" s="216">
        <f t="shared" si="4"/>
        <v>1081259913.4255042</v>
      </c>
      <c r="N17" s="216">
        <f aca="true" t="shared" si="5" ref="N17:V17">SUM(N14:N16)</f>
        <v>1129906353.4497914</v>
      </c>
      <c r="O17" s="216">
        <f t="shared" si="5"/>
        <v>1178411930.1068318</v>
      </c>
      <c r="P17" s="216">
        <f t="shared" si="5"/>
        <v>1197897027.4543417</v>
      </c>
      <c r="Q17" s="216">
        <f t="shared" si="5"/>
        <v>1207604988.502673</v>
      </c>
      <c r="R17" s="216">
        <f t="shared" si="5"/>
        <v>1293912499.7216687</v>
      </c>
      <c r="S17" s="216">
        <f t="shared" si="5"/>
        <v>1337899605.8701236</v>
      </c>
      <c r="T17" s="216">
        <f t="shared" si="5"/>
        <v>1352359584.3308337</v>
      </c>
      <c r="U17" s="216">
        <f t="shared" si="5"/>
        <v>1371979957.0263634</v>
      </c>
      <c r="V17" s="216">
        <f t="shared" si="5"/>
        <v>1423532063.1399384</v>
      </c>
      <c r="W17" s="341"/>
    </row>
    <row r="18" spans="2:23" ht="12.75">
      <c r="B18" s="170"/>
      <c r="C18" s="129" t="s">
        <v>85</v>
      </c>
      <c r="D18" s="259"/>
      <c r="E18" s="259"/>
      <c r="F18" s="259"/>
      <c r="G18" s="259"/>
      <c r="H18" s="259"/>
      <c r="I18" s="259"/>
      <c r="J18" s="259"/>
      <c r="K18" s="259"/>
      <c r="L18" s="259"/>
      <c r="M18" s="259"/>
      <c r="N18" s="259"/>
      <c r="O18" s="259"/>
      <c r="P18" s="259"/>
      <c r="Q18" s="259"/>
      <c r="R18" s="259"/>
      <c r="S18" s="259"/>
      <c r="T18" s="259"/>
      <c r="U18" s="259"/>
      <c r="V18" s="259"/>
      <c r="W18" s="341"/>
    </row>
    <row r="19" spans="2:23" ht="12.75">
      <c r="B19" s="337">
        <v>3.4</v>
      </c>
      <c r="C19" s="126" t="s">
        <v>242</v>
      </c>
      <c r="D19" s="215"/>
      <c r="E19" s="216">
        <f>D23</f>
        <v>0</v>
      </c>
      <c r="F19" s="216">
        <f>E23</f>
        <v>0</v>
      </c>
      <c r="G19" s="216">
        <f>F23</f>
        <v>1257466.768640615</v>
      </c>
      <c r="H19" s="216">
        <f aca="true" t="shared" si="6" ref="H19:M19">G23</f>
        <v>1366575.3205970647</v>
      </c>
      <c r="I19" s="216">
        <f t="shared" si="6"/>
        <v>5584914.5316450335</v>
      </c>
      <c r="J19" s="216">
        <f t="shared" si="6"/>
        <v>5671294.4821362635</v>
      </c>
      <c r="K19" s="216">
        <f t="shared" si="6"/>
        <v>23045707.84694751</v>
      </c>
      <c r="L19" s="216">
        <f t="shared" si="6"/>
        <v>23529532.04912433</v>
      </c>
      <c r="M19" s="216">
        <f t="shared" si="6"/>
        <v>26176857.720978063</v>
      </c>
      <c r="N19" s="216">
        <f aca="true" t="shared" si="7" ref="N19:V19">M23</f>
        <v>37789664.617070384</v>
      </c>
      <c r="O19" s="216">
        <f t="shared" si="7"/>
        <v>41392532.820879936</v>
      </c>
      <c r="P19" s="216">
        <f t="shared" si="7"/>
        <v>43729992.20702363</v>
      </c>
      <c r="Q19" s="216">
        <f t="shared" si="7"/>
        <v>53047376.96948958</v>
      </c>
      <c r="R19" s="216">
        <f t="shared" si="7"/>
        <v>61609090.46707967</v>
      </c>
      <c r="S19" s="216">
        <f t="shared" si="7"/>
        <v>62209957.2524445</v>
      </c>
      <c r="T19" s="216">
        <f t="shared" si="7"/>
        <v>61940040.662506774</v>
      </c>
      <c r="U19" s="216">
        <f t="shared" si="7"/>
        <v>64433043.37640924</v>
      </c>
      <c r="V19" s="216">
        <f t="shared" si="7"/>
        <v>68327117.22570811</v>
      </c>
      <c r="W19" s="341"/>
    </row>
    <row r="20" spans="2:23" ht="12.75">
      <c r="B20" s="337">
        <v>3.4</v>
      </c>
      <c r="C20" s="126" t="s">
        <v>217</v>
      </c>
      <c r="D20" s="215"/>
      <c r="E20" s="215">
        <v>0</v>
      </c>
      <c r="F20" s="215">
        <v>1257466.768640615</v>
      </c>
      <c r="G20" s="215">
        <v>95935.77718913039</v>
      </c>
      <c r="H20" s="215">
        <v>4231132.800812915</v>
      </c>
      <c r="I20" s="215">
        <v>0</v>
      </c>
      <c r="J20" s="215">
        <v>17464561.21984621</v>
      </c>
      <c r="K20" s="215">
        <v>461656.24567221885</v>
      </c>
      <c r="L20" s="215">
        <v>2515693.098755019</v>
      </c>
      <c r="M20" s="215">
        <v>12120792.386789016</v>
      </c>
      <c r="N20" s="215">
        <v>3875824.94434416</v>
      </c>
      <c r="O20" s="215">
        <v>2411391.127785735</v>
      </c>
      <c r="P20" s="215">
        <v>10089681.057344085</v>
      </c>
      <c r="Q20" s="215">
        <v>9766180.671133129</v>
      </c>
      <c r="R20" s="215">
        <v>1456576.4057922778</v>
      </c>
      <c r="S20" s="215">
        <v>566605.5257720874</v>
      </c>
      <c r="T20" s="215">
        <v>3696157.8823001105</v>
      </c>
      <c r="U20" s="215">
        <v>6450558.557053888</v>
      </c>
      <c r="V20" s="215">
        <v>19431279.12955805</v>
      </c>
      <c r="W20" s="341"/>
    </row>
    <row r="21" spans="2:23" ht="12.75">
      <c r="B21" s="337">
        <v>3.4</v>
      </c>
      <c r="C21" s="126" t="s">
        <v>263</v>
      </c>
      <c r="D21" s="215"/>
      <c r="E21" s="215">
        <v>0</v>
      </c>
      <c r="F21" s="215">
        <v>0</v>
      </c>
      <c r="G21" s="215">
        <v>13172.774767319179</v>
      </c>
      <c r="H21" s="215">
        <v>-12793.589764945695</v>
      </c>
      <c r="I21" s="215">
        <v>86379.95049123018</v>
      </c>
      <c r="J21" s="215">
        <v>-90147.85503496423</v>
      </c>
      <c r="K21" s="215">
        <v>22167.956504601127</v>
      </c>
      <c r="L21" s="215">
        <v>131632.57309871435</v>
      </c>
      <c r="M21" s="215">
        <v>-507985.4906966921</v>
      </c>
      <c r="N21" s="215">
        <v>-272956.74053460895</v>
      </c>
      <c r="O21" s="215">
        <v>-73931.7416420413</v>
      </c>
      <c r="P21" s="215">
        <v>-772296.2948781354</v>
      </c>
      <c r="Q21" s="215">
        <v>-1204467.173543046</v>
      </c>
      <c r="R21" s="215">
        <v>-855709.620427455</v>
      </c>
      <c r="S21" s="215">
        <v>-836522.115709808</v>
      </c>
      <c r="T21" s="215">
        <v>-1203155.168397641</v>
      </c>
      <c r="U21" s="215">
        <v>-2556484.7077550213</v>
      </c>
      <c r="V21" s="215">
        <v>120452.57357491401</v>
      </c>
      <c r="W21" s="341"/>
    </row>
    <row r="22" spans="2:23" ht="12.75">
      <c r="B22" s="337">
        <v>3.4</v>
      </c>
      <c r="C22" s="126" t="s">
        <v>264</v>
      </c>
      <c r="D22" s="215"/>
      <c r="E22" s="215">
        <v>0</v>
      </c>
      <c r="F22" s="215">
        <v>0</v>
      </c>
      <c r="G22" s="215">
        <v>0</v>
      </c>
      <c r="H22" s="215">
        <v>0</v>
      </c>
      <c r="I22" s="215">
        <v>0</v>
      </c>
      <c r="J22" s="215">
        <v>0</v>
      </c>
      <c r="K22" s="215">
        <v>0</v>
      </c>
      <c r="L22" s="215">
        <v>0</v>
      </c>
      <c r="M22" s="215">
        <v>0</v>
      </c>
      <c r="N22" s="215">
        <v>0</v>
      </c>
      <c r="O22" s="215">
        <v>0</v>
      </c>
      <c r="P22" s="215">
        <v>0</v>
      </c>
      <c r="Q22" s="215">
        <v>0</v>
      </c>
      <c r="R22" s="215">
        <v>0</v>
      </c>
      <c r="S22" s="215">
        <v>0</v>
      </c>
      <c r="T22" s="215">
        <v>0</v>
      </c>
      <c r="U22" s="215">
        <v>0</v>
      </c>
      <c r="V22" s="215">
        <v>0</v>
      </c>
      <c r="W22" s="341"/>
    </row>
    <row r="23" spans="2:23" ht="12.75">
      <c r="B23" s="169"/>
      <c r="C23" s="128" t="s">
        <v>86</v>
      </c>
      <c r="D23" s="216">
        <f>SUM(D19:D22)</f>
        <v>0</v>
      </c>
      <c r="E23" s="216">
        <f>SUM(E19:E22)</f>
        <v>0</v>
      </c>
      <c r="F23" s="216">
        <f>SUM(F19:F22)</f>
        <v>1257466.768640615</v>
      </c>
      <c r="G23" s="216">
        <f>SUM(G19:G22)</f>
        <v>1366575.3205970647</v>
      </c>
      <c r="H23" s="216">
        <f aca="true" t="shared" si="8" ref="H23:M23">SUM(H19:H22)</f>
        <v>5584914.5316450335</v>
      </c>
      <c r="I23" s="216">
        <f t="shared" si="8"/>
        <v>5671294.4821362635</v>
      </c>
      <c r="J23" s="216">
        <f t="shared" si="8"/>
        <v>23045707.84694751</v>
      </c>
      <c r="K23" s="216">
        <f t="shared" si="8"/>
        <v>23529532.04912433</v>
      </c>
      <c r="L23" s="216">
        <f t="shared" si="8"/>
        <v>26176857.720978063</v>
      </c>
      <c r="M23" s="216">
        <f t="shared" si="8"/>
        <v>37789664.617070384</v>
      </c>
      <c r="N23" s="216">
        <f aca="true" t="shared" si="9" ref="N23:V23">SUM(N19:N22)</f>
        <v>41392532.820879936</v>
      </c>
      <c r="O23" s="216">
        <f t="shared" si="9"/>
        <v>43729992.20702363</v>
      </c>
      <c r="P23" s="216">
        <f t="shared" si="9"/>
        <v>53047376.96948958</v>
      </c>
      <c r="Q23" s="216">
        <f t="shared" si="9"/>
        <v>61609090.46707967</v>
      </c>
      <c r="R23" s="216">
        <f t="shared" si="9"/>
        <v>62209957.2524445</v>
      </c>
      <c r="S23" s="216">
        <f t="shared" si="9"/>
        <v>61940040.662506774</v>
      </c>
      <c r="T23" s="216">
        <f t="shared" si="9"/>
        <v>64433043.37640924</v>
      </c>
      <c r="U23" s="216">
        <f t="shared" si="9"/>
        <v>68327117.22570811</v>
      </c>
      <c r="V23" s="216">
        <f t="shared" si="9"/>
        <v>87878848.92884107</v>
      </c>
      <c r="W23" s="341"/>
    </row>
    <row r="24" spans="2:23" ht="12.75">
      <c r="B24" s="170"/>
      <c r="C24" s="129" t="s">
        <v>141</v>
      </c>
      <c r="D24" s="259"/>
      <c r="E24" s="259"/>
      <c r="F24" s="259"/>
      <c r="G24" s="259"/>
      <c r="H24" s="259"/>
      <c r="I24" s="259"/>
      <c r="J24" s="259"/>
      <c r="K24" s="259"/>
      <c r="L24" s="259"/>
      <c r="M24" s="259"/>
      <c r="N24" s="259"/>
      <c r="O24" s="259"/>
      <c r="P24" s="259"/>
      <c r="Q24" s="259"/>
      <c r="R24" s="259"/>
      <c r="S24" s="259"/>
      <c r="T24" s="259"/>
      <c r="U24" s="259"/>
      <c r="V24" s="259"/>
      <c r="W24" s="341"/>
    </row>
    <row r="25" spans="2:23" ht="12.75">
      <c r="B25" s="337">
        <v>3.4</v>
      </c>
      <c r="C25" s="126" t="s">
        <v>242</v>
      </c>
      <c r="D25" s="215"/>
      <c r="E25" s="216">
        <f>D29</f>
        <v>0</v>
      </c>
      <c r="F25" s="216">
        <f>E29</f>
        <v>0</v>
      </c>
      <c r="G25" s="216">
        <f>F29</f>
        <v>0</v>
      </c>
      <c r="H25" s="216">
        <f aca="true" t="shared" si="10" ref="H25:M25">G29</f>
        <v>0</v>
      </c>
      <c r="I25" s="216">
        <f t="shared" si="10"/>
        <v>0</v>
      </c>
      <c r="J25" s="216">
        <f t="shared" si="10"/>
        <v>0</v>
      </c>
      <c r="K25" s="216">
        <f t="shared" si="10"/>
        <v>0</v>
      </c>
      <c r="L25" s="216">
        <f t="shared" si="10"/>
        <v>768596.9499811502</v>
      </c>
      <c r="M25" s="216">
        <f t="shared" si="10"/>
        <v>3185554.08824046</v>
      </c>
      <c r="N25" s="216">
        <f aca="true" t="shared" si="11" ref="N25:V25">M29</f>
        <v>3156826.061087353</v>
      </c>
      <c r="O25" s="216">
        <f t="shared" si="11"/>
        <v>3345555.6473666956</v>
      </c>
      <c r="P25" s="216">
        <f t="shared" si="11"/>
        <v>3383147.479898002</v>
      </c>
      <c r="Q25" s="216">
        <f t="shared" si="11"/>
        <v>3360384.05937378</v>
      </c>
      <c r="R25" s="216">
        <f t="shared" si="11"/>
        <v>3319775.172813891</v>
      </c>
      <c r="S25" s="216">
        <f t="shared" si="11"/>
        <v>11844964.104131036</v>
      </c>
      <c r="T25" s="216">
        <f t="shared" si="11"/>
        <v>13502431.38472579</v>
      </c>
      <c r="U25" s="216">
        <f t="shared" si="11"/>
        <v>13427087.204771101</v>
      </c>
      <c r="V25" s="216">
        <f t="shared" si="11"/>
        <v>13169753.294489183</v>
      </c>
      <c r="W25" s="341"/>
    </row>
    <row r="26" spans="2:23" ht="12.75">
      <c r="B26" s="337">
        <v>3.4</v>
      </c>
      <c r="C26" s="126" t="s">
        <v>72</v>
      </c>
      <c r="D26" s="215"/>
      <c r="E26" s="215">
        <v>0</v>
      </c>
      <c r="F26" s="215">
        <v>0</v>
      </c>
      <c r="G26" s="215">
        <v>0</v>
      </c>
      <c r="H26" s="215">
        <v>0</v>
      </c>
      <c r="I26" s="215">
        <v>0</v>
      </c>
      <c r="J26" s="215">
        <v>0</v>
      </c>
      <c r="K26" s="215">
        <v>768596.9499811502</v>
      </c>
      <c r="L26" s="215">
        <v>2405109.379150288</v>
      </c>
      <c r="M26" s="215">
        <v>0</v>
      </c>
      <c r="N26" s="215">
        <v>180295.03378572434</v>
      </c>
      <c r="O26" s="215">
        <v>8254.754094080306</v>
      </c>
      <c r="P26" s="215">
        <v>0</v>
      </c>
      <c r="Q26" s="215">
        <v>0</v>
      </c>
      <c r="R26" s="215">
        <v>8536755.978227705</v>
      </c>
      <c r="S26" s="215">
        <v>1662629.17377149</v>
      </c>
      <c r="T26" s="215">
        <v>0</v>
      </c>
      <c r="U26" s="215">
        <v>84503.79676689606</v>
      </c>
      <c r="V26" s="215">
        <v>0</v>
      </c>
      <c r="W26" s="341"/>
    </row>
    <row r="27" spans="2:23" ht="12.75">
      <c r="B27" s="337">
        <v>3.4</v>
      </c>
      <c r="C27" s="126" t="s">
        <v>265</v>
      </c>
      <c r="D27" s="215"/>
      <c r="E27" s="215">
        <v>0</v>
      </c>
      <c r="F27" s="215">
        <v>0</v>
      </c>
      <c r="G27" s="215">
        <v>0</v>
      </c>
      <c r="H27" s="215">
        <v>0</v>
      </c>
      <c r="I27" s="215">
        <v>0</v>
      </c>
      <c r="J27" s="215">
        <v>0</v>
      </c>
      <c r="K27" s="215">
        <v>0</v>
      </c>
      <c r="L27" s="215">
        <v>11847.759109021743</v>
      </c>
      <c r="M27" s="215">
        <v>-28728.027153106956</v>
      </c>
      <c r="N27" s="215">
        <v>8434.552493617866</v>
      </c>
      <c r="O27" s="215">
        <v>29337.078437225744</v>
      </c>
      <c r="P27" s="215">
        <v>-22763.42052422192</v>
      </c>
      <c r="Q27" s="215">
        <v>-40608.88655988925</v>
      </c>
      <c r="R27" s="215">
        <v>-11567.046910559806</v>
      </c>
      <c r="S27" s="215">
        <v>-5161.893176734572</v>
      </c>
      <c r="T27" s="215">
        <v>-75344.17995468887</v>
      </c>
      <c r="U27" s="215">
        <v>-341837.7070488157</v>
      </c>
      <c r="V27" s="215">
        <v>210819.41535739967</v>
      </c>
      <c r="W27" s="341"/>
    </row>
    <row r="28" spans="2:23" ht="12.75">
      <c r="B28" s="337">
        <v>3.4</v>
      </c>
      <c r="C28" s="126" t="s">
        <v>264</v>
      </c>
      <c r="D28" s="215"/>
      <c r="E28" s="215">
        <v>0</v>
      </c>
      <c r="F28" s="215">
        <v>0</v>
      </c>
      <c r="G28" s="215">
        <v>0</v>
      </c>
      <c r="H28" s="215">
        <v>0</v>
      </c>
      <c r="I28" s="215">
        <v>0</v>
      </c>
      <c r="J28" s="215">
        <v>0</v>
      </c>
      <c r="K28" s="215">
        <v>0</v>
      </c>
      <c r="L28" s="215">
        <v>0</v>
      </c>
      <c r="M28" s="215">
        <v>0</v>
      </c>
      <c r="N28" s="215">
        <v>0</v>
      </c>
      <c r="O28" s="215">
        <v>0</v>
      </c>
      <c r="P28" s="215">
        <v>0</v>
      </c>
      <c r="Q28" s="215">
        <v>0</v>
      </c>
      <c r="R28" s="215">
        <v>0</v>
      </c>
      <c r="S28" s="215">
        <v>0</v>
      </c>
      <c r="T28" s="215">
        <v>0</v>
      </c>
      <c r="U28" s="215">
        <v>0</v>
      </c>
      <c r="V28" s="215">
        <v>0</v>
      </c>
      <c r="W28" s="341"/>
    </row>
    <row r="29" spans="2:23" ht="12.75">
      <c r="B29" s="169"/>
      <c r="C29" s="128" t="s">
        <v>142</v>
      </c>
      <c r="D29" s="216">
        <f>SUM(D25:D28)</f>
        <v>0</v>
      </c>
      <c r="E29" s="216">
        <f>SUM(E25:E28)</f>
        <v>0</v>
      </c>
      <c r="F29" s="216">
        <f>SUM(F25:F28)</f>
        <v>0</v>
      </c>
      <c r="G29" s="216">
        <f>SUM(G25:G28)</f>
        <v>0</v>
      </c>
      <c r="H29" s="216">
        <f aca="true" t="shared" si="12" ref="H29:M29">SUM(H25:H28)</f>
        <v>0</v>
      </c>
      <c r="I29" s="216">
        <f t="shared" si="12"/>
        <v>0</v>
      </c>
      <c r="J29" s="216">
        <f t="shared" si="12"/>
        <v>0</v>
      </c>
      <c r="K29" s="216">
        <f t="shared" si="12"/>
        <v>768596.9499811502</v>
      </c>
      <c r="L29" s="216">
        <f t="shared" si="12"/>
        <v>3185554.08824046</v>
      </c>
      <c r="M29" s="216">
        <f t="shared" si="12"/>
        <v>3156826.061087353</v>
      </c>
      <c r="N29" s="216">
        <f aca="true" t="shared" si="13" ref="N29:V29">SUM(N25:N28)</f>
        <v>3345555.6473666956</v>
      </c>
      <c r="O29" s="216">
        <f t="shared" si="13"/>
        <v>3383147.479898002</v>
      </c>
      <c r="P29" s="216">
        <f t="shared" si="13"/>
        <v>3360384.05937378</v>
      </c>
      <c r="Q29" s="216">
        <f t="shared" si="13"/>
        <v>3319775.172813891</v>
      </c>
      <c r="R29" s="216">
        <f t="shared" si="13"/>
        <v>11844964.104131036</v>
      </c>
      <c r="S29" s="216">
        <f t="shared" si="13"/>
        <v>13502431.38472579</v>
      </c>
      <c r="T29" s="216">
        <f t="shared" si="13"/>
        <v>13427087.204771101</v>
      </c>
      <c r="U29" s="216">
        <f t="shared" si="13"/>
        <v>13169753.294489183</v>
      </c>
      <c r="V29" s="216">
        <f t="shared" si="13"/>
        <v>13380572.709846582</v>
      </c>
      <c r="W29" s="341"/>
    </row>
    <row r="30" spans="2:23" ht="12.75">
      <c r="B30" s="170"/>
      <c r="C30" s="129" t="s">
        <v>143</v>
      </c>
      <c r="D30" s="259"/>
      <c r="E30" s="259"/>
      <c r="F30" s="259"/>
      <c r="G30" s="259"/>
      <c r="H30" s="259"/>
      <c r="I30" s="259"/>
      <c r="J30" s="259"/>
      <c r="K30" s="259"/>
      <c r="L30" s="259"/>
      <c r="M30" s="259"/>
      <c r="N30" s="259"/>
      <c r="O30" s="259"/>
      <c r="P30" s="259"/>
      <c r="Q30" s="259"/>
      <c r="R30" s="259"/>
      <c r="S30" s="259"/>
      <c r="T30" s="259"/>
      <c r="U30" s="259"/>
      <c r="V30" s="259"/>
      <c r="W30" s="341"/>
    </row>
    <row r="31" spans="2:23" ht="12.75">
      <c r="B31" s="337">
        <v>3.4</v>
      </c>
      <c r="C31" s="126" t="s">
        <v>242</v>
      </c>
      <c r="D31" s="215"/>
      <c r="E31" s="216">
        <f>D35</f>
        <v>0</v>
      </c>
      <c r="F31" s="216">
        <f>E35</f>
        <v>43955.35674109369</v>
      </c>
      <c r="G31" s="216">
        <f>F35</f>
        <v>44147.286865420865</v>
      </c>
      <c r="H31" s="216">
        <f aca="true" t="shared" si="14" ref="H31:M31">G35</f>
        <v>44979.18850928487</v>
      </c>
      <c r="I31" s="216">
        <f t="shared" si="14"/>
        <v>44952.016345244854</v>
      </c>
      <c r="J31" s="216">
        <f t="shared" si="14"/>
        <v>45998.52821326695</v>
      </c>
      <c r="K31" s="216">
        <f t="shared" si="14"/>
        <v>189521.0368142162</v>
      </c>
      <c r="L31" s="216">
        <f t="shared" si="14"/>
        <v>191350.32947853176</v>
      </c>
      <c r="M31" s="216">
        <f t="shared" si="14"/>
        <v>194164.47040214855</v>
      </c>
      <c r="N31" s="216">
        <f aca="true" t="shared" si="15" ref="N31:V31">M35</f>
        <v>1305065.0681621488</v>
      </c>
      <c r="O31" s="216">
        <f t="shared" si="15"/>
        <v>1393162.9460283278</v>
      </c>
      <c r="P31" s="216">
        <f t="shared" si="15"/>
        <v>1587918.3475278441</v>
      </c>
      <c r="Q31" s="216">
        <f t="shared" si="15"/>
        <v>1971413.0987431118</v>
      </c>
      <c r="R31" s="216">
        <f t="shared" si="15"/>
        <v>1952590.5787072938</v>
      </c>
      <c r="S31" s="216">
        <f t="shared" si="15"/>
        <v>3132504.2075850703</v>
      </c>
      <c r="T31" s="216">
        <f t="shared" si="15"/>
        <v>3421666.63013043</v>
      </c>
      <c r="U31" s="216">
        <f t="shared" si="15"/>
        <v>3861771.755744221</v>
      </c>
      <c r="V31" s="216">
        <f t="shared" si="15"/>
        <v>3762292.757922489</v>
      </c>
      <c r="W31" s="341"/>
    </row>
    <row r="32" spans="2:23" ht="12.75">
      <c r="B32" s="337">
        <v>3.4</v>
      </c>
      <c r="C32" s="126" t="s">
        <v>217</v>
      </c>
      <c r="D32" s="215"/>
      <c r="E32" s="215">
        <v>43955.35674109369</v>
      </c>
      <c r="F32" s="215">
        <v>0</v>
      </c>
      <c r="G32" s="215">
        <v>0</v>
      </c>
      <c r="H32" s="215">
        <v>0</v>
      </c>
      <c r="I32" s="215">
        <v>0</v>
      </c>
      <c r="J32" s="215">
        <v>143875.88277072614</v>
      </c>
      <c r="K32" s="215">
        <v>0</v>
      </c>
      <c r="L32" s="215">
        <v>0</v>
      </c>
      <c r="M32" s="215">
        <v>1112840.0720443751</v>
      </c>
      <c r="N32" s="215">
        <v>83696.14491042765</v>
      </c>
      <c r="O32" s="215">
        <v>182168.78952621578</v>
      </c>
      <c r="P32" s="215">
        <v>393569.2275167341</v>
      </c>
      <c r="Q32" s="215">
        <v>3575.5638821691978</v>
      </c>
      <c r="R32" s="215">
        <v>1185234.8855723322</v>
      </c>
      <c r="S32" s="215">
        <v>292153.3951865008</v>
      </c>
      <c r="T32" s="215">
        <v>461054.16705542983</v>
      </c>
      <c r="U32" s="215">
        <v>0</v>
      </c>
      <c r="V32" s="215">
        <v>3127940.5021803933</v>
      </c>
      <c r="W32" s="341"/>
    </row>
    <row r="33" spans="2:23" ht="12.75">
      <c r="B33" s="337">
        <v>3.4</v>
      </c>
      <c r="C33" s="126" t="s">
        <v>266</v>
      </c>
      <c r="D33" s="215"/>
      <c r="E33" s="215">
        <v>0</v>
      </c>
      <c r="F33" s="215">
        <v>191.93012432717364</v>
      </c>
      <c r="G33" s="215">
        <v>831.9016438640003</v>
      </c>
      <c r="H33" s="215">
        <v>-27.17216404001183</v>
      </c>
      <c r="I33" s="215">
        <v>1046.5118680221017</v>
      </c>
      <c r="J33" s="215">
        <v>-353.374169776889</v>
      </c>
      <c r="K33" s="215">
        <v>1829.2926643155424</v>
      </c>
      <c r="L33" s="215">
        <v>2814.1409236168006</v>
      </c>
      <c r="M33" s="215">
        <v>-1939.474284374952</v>
      </c>
      <c r="N33" s="215">
        <v>4401.732955751237</v>
      </c>
      <c r="O33" s="215">
        <v>12586.611973300642</v>
      </c>
      <c r="P33" s="215">
        <v>-10074.476301466284</v>
      </c>
      <c r="Q33" s="215">
        <v>-22398.083917987256</v>
      </c>
      <c r="R33" s="215">
        <v>-5321.256694555618</v>
      </c>
      <c r="S33" s="215">
        <v>-2990.972641140635</v>
      </c>
      <c r="T33" s="215">
        <v>-20949.041441639005</v>
      </c>
      <c r="U33" s="215">
        <v>-99478.99782173189</v>
      </c>
      <c r="V33" s="215">
        <v>58979.953424291394</v>
      </c>
      <c r="W33" s="341"/>
    </row>
    <row r="34" spans="2:23" ht="12.75">
      <c r="B34" s="337">
        <v>3.4</v>
      </c>
      <c r="C34" s="126" t="s">
        <v>264</v>
      </c>
      <c r="D34" s="215"/>
      <c r="E34" s="215">
        <v>0</v>
      </c>
      <c r="F34" s="215">
        <v>0</v>
      </c>
      <c r="G34" s="215">
        <v>0</v>
      </c>
      <c r="H34" s="215">
        <v>0</v>
      </c>
      <c r="I34" s="215">
        <v>0</v>
      </c>
      <c r="J34" s="215">
        <v>0</v>
      </c>
      <c r="K34" s="215">
        <v>0</v>
      </c>
      <c r="L34" s="215">
        <v>0</v>
      </c>
      <c r="M34" s="215">
        <v>0</v>
      </c>
      <c r="N34" s="215">
        <v>0</v>
      </c>
      <c r="O34" s="215">
        <v>0</v>
      </c>
      <c r="P34" s="215">
        <v>0</v>
      </c>
      <c r="Q34" s="215">
        <v>0</v>
      </c>
      <c r="R34" s="215">
        <v>0</v>
      </c>
      <c r="S34" s="215">
        <v>0</v>
      </c>
      <c r="T34" s="215">
        <v>0</v>
      </c>
      <c r="U34" s="215">
        <v>0</v>
      </c>
      <c r="V34" s="215">
        <v>0</v>
      </c>
      <c r="W34" s="341"/>
    </row>
    <row r="35" spans="2:23" ht="12.75">
      <c r="B35" s="169"/>
      <c r="C35" s="128" t="s">
        <v>144</v>
      </c>
      <c r="D35" s="216">
        <f>SUM(D31:D34)</f>
        <v>0</v>
      </c>
      <c r="E35" s="216">
        <f>SUM(E31:E34)</f>
        <v>43955.35674109369</v>
      </c>
      <c r="F35" s="216">
        <f>SUM(F31:F34)</f>
        <v>44147.286865420865</v>
      </c>
      <c r="G35" s="216">
        <f>SUM(G31:G34)</f>
        <v>44979.18850928487</v>
      </c>
      <c r="H35" s="216">
        <f aca="true" t="shared" si="16" ref="H35:M35">SUM(H31:H34)</f>
        <v>44952.016345244854</v>
      </c>
      <c r="I35" s="216">
        <f t="shared" si="16"/>
        <v>45998.52821326695</v>
      </c>
      <c r="J35" s="216">
        <f t="shared" si="16"/>
        <v>189521.0368142162</v>
      </c>
      <c r="K35" s="216">
        <f t="shared" si="16"/>
        <v>191350.32947853176</v>
      </c>
      <c r="L35" s="216">
        <f t="shared" si="16"/>
        <v>194164.47040214855</v>
      </c>
      <c r="M35" s="216">
        <f t="shared" si="16"/>
        <v>1305065.0681621488</v>
      </c>
      <c r="N35" s="216">
        <f aca="true" t="shared" si="17" ref="N35:V35">SUM(N31:N34)</f>
        <v>1393162.9460283278</v>
      </c>
      <c r="O35" s="216">
        <f t="shared" si="17"/>
        <v>1587918.3475278441</v>
      </c>
      <c r="P35" s="216">
        <f t="shared" si="17"/>
        <v>1971413.0987431118</v>
      </c>
      <c r="Q35" s="216">
        <f t="shared" si="17"/>
        <v>1952590.5787072938</v>
      </c>
      <c r="R35" s="216">
        <f t="shared" si="17"/>
        <v>3132504.2075850703</v>
      </c>
      <c r="S35" s="216">
        <f t="shared" si="17"/>
        <v>3421666.63013043</v>
      </c>
      <c r="T35" s="216">
        <f t="shared" si="17"/>
        <v>3861771.755744221</v>
      </c>
      <c r="U35" s="216">
        <f t="shared" si="17"/>
        <v>3762292.757922489</v>
      </c>
      <c r="V35" s="216">
        <f t="shared" si="17"/>
        <v>6949213.213527175</v>
      </c>
      <c r="W35" s="341"/>
    </row>
    <row r="36" spans="2:23" ht="12.75">
      <c r="B36" s="170"/>
      <c r="C36" s="129" t="s">
        <v>87</v>
      </c>
      <c r="D36" s="259"/>
      <c r="E36" s="259"/>
      <c r="F36" s="259"/>
      <c r="G36" s="259"/>
      <c r="H36" s="259"/>
      <c r="I36" s="259"/>
      <c r="J36" s="259"/>
      <c r="K36" s="259"/>
      <c r="L36" s="259"/>
      <c r="M36" s="259"/>
      <c r="N36" s="259"/>
      <c r="O36" s="259"/>
      <c r="P36" s="259"/>
      <c r="Q36" s="259"/>
      <c r="R36" s="259"/>
      <c r="S36" s="259"/>
      <c r="T36" s="259"/>
      <c r="U36" s="259"/>
      <c r="V36" s="259"/>
      <c r="W36" s="341"/>
    </row>
    <row r="37" spans="2:23" ht="12.75">
      <c r="B37" s="337">
        <v>3.4</v>
      </c>
      <c r="C37" s="126" t="s">
        <v>242</v>
      </c>
      <c r="D37" s="215"/>
      <c r="E37" s="216">
        <f>D41</f>
        <v>0</v>
      </c>
      <c r="F37" s="216">
        <f>E41</f>
        <v>0</v>
      </c>
      <c r="G37" s="216">
        <f>F41</f>
        <v>0</v>
      </c>
      <c r="H37" s="216">
        <f aca="true" t="shared" si="18" ref="H37:M37">G41</f>
        <v>0</v>
      </c>
      <c r="I37" s="216">
        <f t="shared" si="18"/>
        <v>0</v>
      </c>
      <c r="J37" s="216">
        <f t="shared" si="18"/>
        <v>0</v>
      </c>
      <c r="K37" s="216">
        <f t="shared" si="18"/>
        <v>0</v>
      </c>
      <c r="L37" s="216">
        <f t="shared" si="18"/>
        <v>0</v>
      </c>
      <c r="M37" s="216">
        <f t="shared" si="18"/>
        <v>323310.1116775628</v>
      </c>
      <c r="N37" s="216">
        <f aca="true" t="shared" si="19" ref="N37:V37">M41</f>
        <v>322931.0573514062</v>
      </c>
      <c r="O37" s="216">
        <f t="shared" si="19"/>
        <v>326414.2418721496</v>
      </c>
      <c r="P37" s="216">
        <f t="shared" si="19"/>
        <v>331972.63991734816</v>
      </c>
      <c r="Q37" s="216">
        <f t="shared" si="19"/>
        <v>332574.23455145425</v>
      </c>
      <c r="R37" s="216">
        <f t="shared" si="19"/>
        <v>363560.6234080868</v>
      </c>
      <c r="S37" s="216">
        <f t="shared" si="19"/>
        <v>943780.4817231409</v>
      </c>
      <c r="T37" s="216">
        <f t="shared" si="19"/>
        <v>955365.7754822768</v>
      </c>
      <c r="U37" s="216">
        <f t="shared" si="19"/>
        <v>957877.6468522735</v>
      </c>
      <c r="V37" s="216">
        <f t="shared" si="19"/>
        <v>941631.347604995</v>
      </c>
      <c r="W37" s="341"/>
    </row>
    <row r="38" spans="2:23" ht="12.75">
      <c r="B38" s="337">
        <v>3.4</v>
      </c>
      <c r="C38" s="126" t="s">
        <v>217</v>
      </c>
      <c r="D38" s="215"/>
      <c r="E38" s="215">
        <v>0</v>
      </c>
      <c r="F38" s="215">
        <v>0</v>
      </c>
      <c r="G38" s="215">
        <v>0</v>
      </c>
      <c r="H38" s="215">
        <v>0</v>
      </c>
      <c r="I38" s="215">
        <v>0</v>
      </c>
      <c r="J38" s="215">
        <v>0</v>
      </c>
      <c r="K38" s="215">
        <v>0</v>
      </c>
      <c r="L38" s="215">
        <v>323310.1116775628</v>
      </c>
      <c r="M38" s="215">
        <v>0</v>
      </c>
      <c r="N38" s="215">
        <v>0</v>
      </c>
      <c r="O38" s="215">
        <v>0</v>
      </c>
      <c r="P38" s="215">
        <v>0</v>
      </c>
      <c r="Q38" s="215">
        <v>32064.03854702274</v>
      </c>
      <c r="R38" s="215">
        <v>578121.1664717443</v>
      </c>
      <c r="S38" s="215">
        <v>4369.585192001091</v>
      </c>
      <c r="T38" s="215">
        <v>0</v>
      </c>
      <c r="U38" s="215">
        <v>0</v>
      </c>
      <c r="V38" s="215">
        <v>0</v>
      </c>
      <c r="W38" s="341"/>
    </row>
    <row r="39" spans="2:23" ht="12.75">
      <c r="B39" s="337">
        <v>3.4</v>
      </c>
      <c r="C39" s="126" t="s">
        <v>267</v>
      </c>
      <c r="D39" s="215"/>
      <c r="E39" s="215">
        <v>0</v>
      </c>
      <c r="F39" s="215">
        <v>0</v>
      </c>
      <c r="G39" s="215">
        <v>0</v>
      </c>
      <c r="H39" s="215">
        <v>0</v>
      </c>
      <c r="I39" s="215">
        <v>0</v>
      </c>
      <c r="J39" s="215">
        <v>0</v>
      </c>
      <c r="K39" s="215">
        <v>0</v>
      </c>
      <c r="L39" s="215">
        <v>0</v>
      </c>
      <c r="M39" s="215">
        <v>-379.054326156605</v>
      </c>
      <c r="N39" s="215">
        <v>3483.1845207433557</v>
      </c>
      <c r="O39" s="215">
        <v>5558.398045198613</v>
      </c>
      <c r="P39" s="215">
        <v>601.5946341060641</v>
      </c>
      <c r="Q39" s="215">
        <v>-1077.6496903902107</v>
      </c>
      <c r="R39" s="215">
        <v>2098.6918433098576</v>
      </c>
      <c r="S39" s="215">
        <v>7215.708567134842</v>
      </c>
      <c r="T39" s="215">
        <v>2511.871369996645</v>
      </c>
      <c r="U39" s="215">
        <v>-16246.29924727846</v>
      </c>
      <c r="V39" s="215">
        <v>23352.82203240957</v>
      </c>
      <c r="W39" s="341"/>
    </row>
    <row r="40" spans="2:23" ht="12.75">
      <c r="B40" s="337">
        <v>3.4</v>
      </c>
      <c r="C40" s="126" t="s">
        <v>264</v>
      </c>
      <c r="D40" s="215"/>
      <c r="E40" s="215">
        <v>0</v>
      </c>
      <c r="F40" s="215">
        <v>0</v>
      </c>
      <c r="G40" s="215">
        <v>0</v>
      </c>
      <c r="H40" s="215">
        <v>0</v>
      </c>
      <c r="I40" s="215">
        <v>0</v>
      </c>
      <c r="J40" s="215">
        <v>0</v>
      </c>
      <c r="K40" s="215">
        <v>0</v>
      </c>
      <c r="L40" s="215">
        <v>0</v>
      </c>
      <c r="M40" s="215">
        <v>0</v>
      </c>
      <c r="N40" s="215">
        <v>0</v>
      </c>
      <c r="O40" s="215">
        <v>0</v>
      </c>
      <c r="P40" s="215">
        <v>0</v>
      </c>
      <c r="Q40" s="215">
        <v>0</v>
      </c>
      <c r="R40" s="215">
        <v>0</v>
      </c>
      <c r="S40" s="215">
        <v>0</v>
      </c>
      <c r="T40" s="215">
        <v>0</v>
      </c>
      <c r="U40" s="215">
        <v>0</v>
      </c>
      <c r="V40" s="215">
        <v>0</v>
      </c>
      <c r="W40" s="341"/>
    </row>
    <row r="41" spans="2:23" ht="12.75">
      <c r="B41" s="169"/>
      <c r="C41" s="128" t="s">
        <v>88</v>
      </c>
      <c r="D41" s="216">
        <f>SUM(D37:D40)</f>
        <v>0</v>
      </c>
      <c r="E41" s="216">
        <f>SUM(E37:E40)</f>
        <v>0</v>
      </c>
      <c r="F41" s="216">
        <f>SUM(F37:F40)</f>
        <v>0</v>
      </c>
      <c r="G41" s="216">
        <f>SUM(G37:G40)</f>
        <v>0</v>
      </c>
      <c r="H41" s="216">
        <f aca="true" t="shared" si="20" ref="H41:M41">SUM(H37:H40)</f>
        <v>0</v>
      </c>
      <c r="I41" s="216">
        <f t="shared" si="20"/>
        <v>0</v>
      </c>
      <c r="J41" s="216">
        <f t="shared" si="20"/>
        <v>0</v>
      </c>
      <c r="K41" s="216">
        <f t="shared" si="20"/>
        <v>0</v>
      </c>
      <c r="L41" s="216">
        <f t="shared" si="20"/>
        <v>323310.1116775628</v>
      </c>
      <c r="M41" s="216">
        <f t="shared" si="20"/>
        <v>322931.0573514062</v>
      </c>
      <c r="N41" s="216">
        <f aca="true" t="shared" si="21" ref="N41:V41">SUM(N37:N40)</f>
        <v>326414.2418721496</v>
      </c>
      <c r="O41" s="216">
        <f t="shared" si="21"/>
        <v>331972.63991734816</v>
      </c>
      <c r="P41" s="216">
        <f t="shared" si="21"/>
        <v>332574.23455145425</v>
      </c>
      <c r="Q41" s="216">
        <f t="shared" si="21"/>
        <v>363560.6234080868</v>
      </c>
      <c r="R41" s="216">
        <f t="shared" si="21"/>
        <v>943780.4817231409</v>
      </c>
      <c r="S41" s="216">
        <f t="shared" si="21"/>
        <v>955365.7754822768</v>
      </c>
      <c r="T41" s="216">
        <f t="shared" si="21"/>
        <v>957877.6468522735</v>
      </c>
      <c r="U41" s="216">
        <f t="shared" si="21"/>
        <v>941631.347604995</v>
      </c>
      <c r="V41" s="216">
        <f t="shared" si="21"/>
        <v>964984.1696374046</v>
      </c>
      <c r="W41" s="341"/>
    </row>
    <row r="42" spans="2:23" ht="12.75">
      <c r="B42" s="170"/>
      <c r="C42" s="129" t="s">
        <v>145</v>
      </c>
      <c r="D42" s="259"/>
      <c r="E42" s="259"/>
      <c r="F42" s="259"/>
      <c r="G42" s="259"/>
      <c r="H42" s="259"/>
      <c r="I42" s="259"/>
      <c r="J42" s="259"/>
      <c r="K42" s="259"/>
      <c r="L42" s="259"/>
      <c r="M42" s="259"/>
      <c r="N42" s="259"/>
      <c r="O42" s="259"/>
      <c r="P42" s="259"/>
      <c r="Q42" s="259"/>
      <c r="R42" s="259"/>
      <c r="S42" s="259"/>
      <c r="T42" s="259"/>
      <c r="U42" s="259"/>
      <c r="V42" s="259"/>
      <c r="W42" s="341"/>
    </row>
    <row r="43" spans="2:23" ht="12.75">
      <c r="B43" s="337">
        <v>3.4</v>
      </c>
      <c r="C43" s="126" t="s">
        <v>242</v>
      </c>
      <c r="D43" s="215"/>
      <c r="E43" s="216">
        <f>D47</f>
        <v>0</v>
      </c>
      <c r="F43" s="216">
        <f>E47</f>
        <v>0</v>
      </c>
      <c r="G43" s="216">
        <f>F47</f>
        <v>0</v>
      </c>
      <c r="H43" s="216">
        <f aca="true" t="shared" si="22" ref="H43:M43">G47</f>
        <v>0</v>
      </c>
      <c r="I43" s="216">
        <f t="shared" si="22"/>
        <v>0</v>
      </c>
      <c r="J43" s="216">
        <f t="shared" si="22"/>
        <v>0</v>
      </c>
      <c r="K43" s="216">
        <f t="shared" si="22"/>
        <v>0</v>
      </c>
      <c r="L43" s="216">
        <f t="shared" si="22"/>
        <v>0</v>
      </c>
      <c r="M43" s="216">
        <f t="shared" si="22"/>
        <v>1380238.010453823</v>
      </c>
      <c r="N43" s="216">
        <f aca="true" t="shared" si="23" ref="N43:V43">M47</f>
        <v>1403400.1680347403</v>
      </c>
      <c r="O43" s="216">
        <f t="shared" si="23"/>
        <v>1345141.1678266192</v>
      </c>
      <c r="P43" s="216">
        <f t="shared" si="23"/>
        <v>1448246.7179637172</v>
      </c>
      <c r="Q43" s="216">
        <f t="shared" si="23"/>
        <v>1350197.0420415266</v>
      </c>
      <c r="R43" s="216">
        <f t="shared" si="23"/>
        <v>1435374.9428480451</v>
      </c>
      <c r="S43" s="216">
        <f t="shared" si="23"/>
        <v>2110657.9020203366</v>
      </c>
      <c r="T43" s="216">
        <f t="shared" si="23"/>
        <v>2447655.823916996</v>
      </c>
      <c r="U43" s="216">
        <f t="shared" si="23"/>
        <v>2689591.8618027945</v>
      </c>
      <c r="V43" s="216">
        <f t="shared" si="23"/>
        <v>2466958.0140682952</v>
      </c>
      <c r="W43" s="341"/>
    </row>
    <row r="44" spans="2:23" ht="12.75">
      <c r="B44" s="337">
        <v>3.4</v>
      </c>
      <c r="C44" s="126" t="s">
        <v>217</v>
      </c>
      <c r="D44" s="215"/>
      <c r="E44" s="215">
        <v>0</v>
      </c>
      <c r="F44" s="215">
        <v>0</v>
      </c>
      <c r="G44" s="215">
        <v>0</v>
      </c>
      <c r="H44" s="215">
        <v>0</v>
      </c>
      <c r="I44" s="215">
        <v>0</v>
      </c>
      <c r="J44" s="215">
        <v>0</v>
      </c>
      <c r="K44" s="215">
        <v>0</v>
      </c>
      <c r="L44" s="215">
        <v>1380238.010453823</v>
      </c>
      <c r="M44" s="215">
        <v>102236.64010413125</v>
      </c>
      <c r="N44" s="215">
        <v>11543.224837950986</v>
      </c>
      <c r="O44" s="215">
        <v>167776.76539402772</v>
      </c>
      <c r="P44" s="215">
        <v>0</v>
      </c>
      <c r="Q44" s="215">
        <v>193104.5605618792</v>
      </c>
      <c r="R44" s="215">
        <v>783520.8257475228</v>
      </c>
      <c r="S44" s="215">
        <v>485013.2818422354</v>
      </c>
      <c r="T44" s="215">
        <v>431807.5092255104</v>
      </c>
      <c r="U44" s="215">
        <v>48489.52390433775</v>
      </c>
      <c r="V44" s="215">
        <v>341308.0480194036</v>
      </c>
      <c r="W44" s="341"/>
    </row>
    <row r="45" spans="2:23" ht="12.75">
      <c r="B45" s="337">
        <v>3.4</v>
      </c>
      <c r="C45" s="126" t="s">
        <v>268</v>
      </c>
      <c r="D45" s="215"/>
      <c r="E45" s="215">
        <v>0</v>
      </c>
      <c r="F45" s="215">
        <v>0</v>
      </c>
      <c r="G45" s="215">
        <v>0</v>
      </c>
      <c r="H45" s="215">
        <v>0</v>
      </c>
      <c r="I45" s="215">
        <v>0</v>
      </c>
      <c r="J45" s="215">
        <v>0</v>
      </c>
      <c r="K45" s="215">
        <v>0</v>
      </c>
      <c r="L45" s="215">
        <v>0</v>
      </c>
      <c r="M45" s="215">
        <v>-79074.48252321396</v>
      </c>
      <c r="N45" s="215">
        <v>-69802.22504607186</v>
      </c>
      <c r="O45" s="215">
        <v>-64671.2152569299</v>
      </c>
      <c r="P45" s="215">
        <v>-98049.67592219048</v>
      </c>
      <c r="Q45" s="215">
        <v>-107926.65975536061</v>
      </c>
      <c r="R45" s="215">
        <v>-108237.86657523135</v>
      </c>
      <c r="S45" s="215">
        <v>-148015.3599455764</v>
      </c>
      <c r="T45" s="215">
        <v>-189871.47133971183</v>
      </c>
      <c r="U45" s="215">
        <v>-271123.3716388368</v>
      </c>
      <c r="V45" s="215">
        <v>-169178.31449803844</v>
      </c>
      <c r="W45" s="341"/>
    </row>
    <row r="46" spans="2:23" ht="12.75">
      <c r="B46" s="337">
        <v>3.4</v>
      </c>
      <c r="C46" s="126" t="s">
        <v>264</v>
      </c>
      <c r="D46" s="215"/>
      <c r="E46" s="215">
        <v>0</v>
      </c>
      <c r="F46" s="215">
        <v>0</v>
      </c>
      <c r="G46" s="215">
        <v>0</v>
      </c>
      <c r="H46" s="215">
        <v>0</v>
      </c>
      <c r="I46" s="215">
        <v>0</v>
      </c>
      <c r="J46" s="215">
        <v>0</v>
      </c>
      <c r="K46" s="215">
        <v>0</v>
      </c>
      <c r="L46" s="215">
        <v>0</v>
      </c>
      <c r="M46" s="215">
        <v>0</v>
      </c>
      <c r="N46" s="215">
        <v>0</v>
      </c>
      <c r="O46" s="215">
        <v>0</v>
      </c>
      <c r="P46" s="215">
        <v>0</v>
      </c>
      <c r="Q46" s="215">
        <v>0</v>
      </c>
      <c r="R46" s="215">
        <v>0</v>
      </c>
      <c r="S46" s="215">
        <v>0</v>
      </c>
      <c r="T46" s="215">
        <v>0</v>
      </c>
      <c r="U46" s="215">
        <v>0</v>
      </c>
      <c r="V46" s="215">
        <v>0</v>
      </c>
      <c r="W46" s="341"/>
    </row>
    <row r="47" spans="2:23" ht="12.75">
      <c r="B47" s="169"/>
      <c r="C47" s="128" t="s">
        <v>146</v>
      </c>
      <c r="D47" s="216">
        <f>SUM(D43:D46)</f>
        <v>0</v>
      </c>
      <c r="E47" s="216">
        <f>SUM(E43:E46)</f>
        <v>0</v>
      </c>
      <c r="F47" s="216">
        <f>SUM(F43:F46)</f>
        <v>0</v>
      </c>
      <c r="G47" s="216">
        <f>SUM(G43:G46)</f>
        <v>0</v>
      </c>
      <c r="H47" s="216">
        <f aca="true" t="shared" si="24" ref="H47:M47">SUM(H43:H46)</f>
        <v>0</v>
      </c>
      <c r="I47" s="216">
        <f t="shared" si="24"/>
        <v>0</v>
      </c>
      <c r="J47" s="216">
        <f t="shared" si="24"/>
        <v>0</v>
      </c>
      <c r="K47" s="216">
        <f t="shared" si="24"/>
        <v>0</v>
      </c>
      <c r="L47" s="216">
        <f t="shared" si="24"/>
        <v>1380238.010453823</v>
      </c>
      <c r="M47" s="216">
        <f t="shared" si="24"/>
        <v>1403400.1680347403</v>
      </c>
      <c r="N47" s="216">
        <f aca="true" t="shared" si="25" ref="N47:V47">SUM(N43:N46)</f>
        <v>1345141.1678266192</v>
      </c>
      <c r="O47" s="216">
        <f t="shared" si="25"/>
        <v>1448246.7179637172</v>
      </c>
      <c r="P47" s="216">
        <f t="shared" si="25"/>
        <v>1350197.0420415266</v>
      </c>
      <c r="Q47" s="216">
        <f t="shared" si="25"/>
        <v>1435374.9428480451</v>
      </c>
      <c r="R47" s="216">
        <f t="shared" si="25"/>
        <v>2110657.9020203366</v>
      </c>
      <c r="S47" s="216">
        <f t="shared" si="25"/>
        <v>2447655.823916996</v>
      </c>
      <c r="T47" s="216">
        <f t="shared" si="25"/>
        <v>2689591.8618027945</v>
      </c>
      <c r="U47" s="216">
        <f t="shared" si="25"/>
        <v>2466958.0140682952</v>
      </c>
      <c r="V47" s="216">
        <f t="shared" si="25"/>
        <v>2639087.7475896603</v>
      </c>
      <c r="W47" s="341"/>
    </row>
    <row r="48" spans="2:23" ht="12.75">
      <c r="B48" s="170"/>
      <c r="C48" s="129" t="s">
        <v>1</v>
      </c>
      <c r="D48" s="259"/>
      <c r="E48" s="259"/>
      <c r="F48" s="259"/>
      <c r="G48" s="259"/>
      <c r="H48" s="259"/>
      <c r="I48" s="259"/>
      <c r="J48" s="259"/>
      <c r="K48" s="259"/>
      <c r="L48" s="259"/>
      <c r="M48" s="259"/>
      <c r="N48" s="259"/>
      <c r="O48" s="259"/>
      <c r="P48" s="259"/>
      <c r="Q48" s="259"/>
      <c r="R48" s="259"/>
      <c r="S48" s="259"/>
      <c r="T48" s="259"/>
      <c r="U48" s="259"/>
      <c r="V48" s="259"/>
      <c r="W48" s="341"/>
    </row>
    <row r="49" spans="2:23" ht="12.75">
      <c r="B49" s="337">
        <v>3.4</v>
      </c>
      <c r="C49" s="126" t="s">
        <v>242</v>
      </c>
      <c r="D49" s="215"/>
      <c r="E49" s="216">
        <f>D53</f>
        <v>0</v>
      </c>
      <c r="F49" s="216">
        <f>E53</f>
        <v>0</v>
      </c>
      <c r="G49" s="216">
        <f>F53</f>
        <v>0</v>
      </c>
      <c r="H49" s="216">
        <f aca="true" t="shared" si="26" ref="H49:M49">G53</f>
        <v>0</v>
      </c>
      <c r="I49" s="216">
        <f t="shared" si="26"/>
        <v>23131.300378338274</v>
      </c>
      <c r="J49" s="216">
        <f t="shared" si="26"/>
        <v>23878.90700954954</v>
      </c>
      <c r="K49" s="216">
        <f t="shared" si="26"/>
        <v>23918.63829971729</v>
      </c>
      <c r="L49" s="216">
        <f t="shared" si="26"/>
        <v>24336.148072810887</v>
      </c>
      <c r="M49" s="216">
        <f t="shared" si="26"/>
        <v>24890.37509439025</v>
      </c>
      <c r="N49" s="216">
        <f aca="true" t="shared" si="27" ref="N49:V49">M53</f>
        <v>59529.723543170934</v>
      </c>
      <c r="O49" s="216">
        <f t="shared" si="27"/>
        <v>60176.08543558762</v>
      </c>
      <c r="P49" s="216">
        <f t="shared" si="27"/>
        <v>77142.48192762226</v>
      </c>
      <c r="Q49" s="216">
        <f t="shared" si="27"/>
        <v>104505.39332264954</v>
      </c>
      <c r="R49" s="216">
        <f t="shared" si="27"/>
        <v>286813.91912711796</v>
      </c>
      <c r="S49" s="216">
        <f t="shared" si="27"/>
        <v>288647.7102616067</v>
      </c>
      <c r="T49" s="216">
        <f t="shared" si="27"/>
        <v>387363.5729436157</v>
      </c>
      <c r="U49" s="216">
        <f t="shared" si="27"/>
        <v>388439.8764689366</v>
      </c>
      <c r="V49" s="216">
        <f t="shared" si="27"/>
        <v>381911.1929587599</v>
      </c>
      <c r="W49" s="341"/>
    </row>
    <row r="50" spans="2:23" ht="12.75">
      <c r="B50" s="337">
        <v>3.4</v>
      </c>
      <c r="C50" s="126" t="s">
        <v>217</v>
      </c>
      <c r="D50" s="215"/>
      <c r="E50" s="215">
        <v>0</v>
      </c>
      <c r="F50" s="215">
        <v>0</v>
      </c>
      <c r="G50" s="215">
        <v>0</v>
      </c>
      <c r="H50" s="215">
        <v>23131.300378338274</v>
      </c>
      <c r="I50" s="215">
        <v>0</v>
      </c>
      <c r="J50" s="215">
        <v>0</v>
      </c>
      <c r="K50" s="215">
        <v>0</v>
      </c>
      <c r="L50" s="215">
        <v>0</v>
      </c>
      <c r="M50" s="215">
        <v>34680.306658971465</v>
      </c>
      <c r="N50" s="215">
        <v>0</v>
      </c>
      <c r="O50" s="215">
        <v>15952.93922996172</v>
      </c>
      <c r="P50" s="215">
        <v>27228.173825632086</v>
      </c>
      <c r="Q50" s="215">
        <v>182631.0130877531</v>
      </c>
      <c r="R50" s="215">
        <v>0</v>
      </c>
      <c r="S50" s="215">
        <v>96502.78529463956</v>
      </c>
      <c r="T50" s="215">
        <v>0</v>
      </c>
      <c r="U50" s="215">
        <v>0</v>
      </c>
      <c r="V50" s="215">
        <v>0</v>
      </c>
      <c r="W50" s="341"/>
    </row>
    <row r="51" spans="2:23" ht="12.75">
      <c r="B51" s="337">
        <v>3.4</v>
      </c>
      <c r="C51" s="126" t="s">
        <v>269</v>
      </c>
      <c r="D51" s="215"/>
      <c r="E51" s="215">
        <v>0</v>
      </c>
      <c r="F51" s="215">
        <v>0</v>
      </c>
      <c r="G51" s="215">
        <v>0</v>
      </c>
      <c r="H51" s="215">
        <v>0</v>
      </c>
      <c r="I51" s="215">
        <v>747.6066312112662</v>
      </c>
      <c r="J51" s="215">
        <v>39.73129016774887</v>
      </c>
      <c r="K51" s="215">
        <v>417.50977309359604</v>
      </c>
      <c r="L51" s="215">
        <v>554.2270215793619</v>
      </c>
      <c r="M51" s="215">
        <v>-40.95821019078032</v>
      </c>
      <c r="N51" s="215">
        <v>646.3618924166865</v>
      </c>
      <c r="O51" s="215">
        <v>1013.4572620729156</v>
      </c>
      <c r="P51" s="215">
        <v>134.7375693951996</v>
      </c>
      <c r="Q51" s="215">
        <v>-322.48728328463096</v>
      </c>
      <c r="R51" s="215">
        <v>1833.7911344887557</v>
      </c>
      <c r="S51" s="215">
        <v>2213.0773873694757</v>
      </c>
      <c r="T51" s="215">
        <v>1076.3035253208795</v>
      </c>
      <c r="U51" s="215">
        <v>-6528.6835101767365</v>
      </c>
      <c r="V51" s="215">
        <v>9531.689749458803</v>
      </c>
      <c r="W51" s="341"/>
    </row>
    <row r="52" spans="2:23" ht="12.75">
      <c r="B52" s="337">
        <v>3.4</v>
      </c>
      <c r="C52" s="126" t="s">
        <v>264</v>
      </c>
      <c r="D52" s="215"/>
      <c r="E52" s="215">
        <v>0</v>
      </c>
      <c r="F52" s="215">
        <v>0</v>
      </c>
      <c r="G52" s="215">
        <v>0</v>
      </c>
      <c r="H52" s="215">
        <v>0</v>
      </c>
      <c r="I52" s="215">
        <v>0</v>
      </c>
      <c r="J52" s="215">
        <v>0</v>
      </c>
      <c r="K52" s="215">
        <v>0</v>
      </c>
      <c r="L52" s="215">
        <v>0</v>
      </c>
      <c r="M52" s="215">
        <v>0</v>
      </c>
      <c r="N52" s="215">
        <v>0</v>
      </c>
      <c r="O52" s="215">
        <v>0</v>
      </c>
      <c r="P52" s="215">
        <v>0</v>
      </c>
      <c r="Q52" s="215">
        <v>0</v>
      </c>
      <c r="R52" s="215">
        <v>0</v>
      </c>
      <c r="S52" s="215">
        <v>0</v>
      </c>
      <c r="T52" s="215">
        <v>0</v>
      </c>
      <c r="U52" s="215">
        <v>0</v>
      </c>
      <c r="V52" s="215">
        <v>0</v>
      </c>
      <c r="W52" s="341"/>
    </row>
    <row r="53" spans="2:23" ht="12.75">
      <c r="B53" s="169"/>
      <c r="C53" s="128" t="s">
        <v>89</v>
      </c>
      <c r="D53" s="216">
        <f>SUM(D49:D52)</f>
        <v>0</v>
      </c>
      <c r="E53" s="216">
        <f>SUM(E49:E52)</f>
        <v>0</v>
      </c>
      <c r="F53" s="216">
        <f>SUM(F49:F52)</f>
        <v>0</v>
      </c>
      <c r="G53" s="216">
        <f>SUM(G49:G52)</f>
        <v>0</v>
      </c>
      <c r="H53" s="216">
        <f aca="true" t="shared" si="28" ref="H53:M53">SUM(H49:H52)</f>
        <v>23131.300378338274</v>
      </c>
      <c r="I53" s="216">
        <f t="shared" si="28"/>
        <v>23878.90700954954</v>
      </c>
      <c r="J53" s="216">
        <f t="shared" si="28"/>
        <v>23918.63829971729</v>
      </c>
      <c r="K53" s="216">
        <f t="shared" si="28"/>
        <v>24336.148072810887</v>
      </c>
      <c r="L53" s="216">
        <f t="shared" si="28"/>
        <v>24890.37509439025</v>
      </c>
      <c r="M53" s="216">
        <f t="shared" si="28"/>
        <v>59529.723543170934</v>
      </c>
      <c r="N53" s="216">
        <f aca="true" t="shared" si="29" ref="N53:V53">SUM(N49:N52)</f>
        <v>60176.08543558762</v>
      </c>
      <c r="O53" s="216">
        <f t="shared" si="29"/>
        <v>77142.48192762226</v>
      </c>
      <c r="P53" s="216">
        <f t="shared" si="29"/>
        <v>104505.39332264954</v>
      </c>
      <c r="Q53" s="216">
        <f t="shared" si="29"/>
        <v>286813.91912711796</v>
      </c>
      <c r="R53" s="216">
        <f t="shared" si="29"/>
        <v>288647.7102616067</v>
      </c>
      <c r="S53" s="216">
        <f t="shared" si="29"/>
        <v>387363.5729436157</v>
      </c>
      <c r="T53" s="216">
        <f t="shared" si="29"/>
        <v>388439.8764689366</v>
      </c>
      <c r="U53" s="216">
        <f t="shared" si="29"/>
        <v>381911.1929587599</v>
      </c>
      <c r="V53" s="216">
        <f t="shared" si="29"/>
        <v>391442.8827082187</v>
      </c>
      <c r="W53" s="341"/>
    </row>
    <row r="54" spans="2:23" ht="12.75">
      <c r="B54" s="170"/>
      <c r="C54" s="129" t="s">
        <v>147</v>
      </c>
      <c r="D54" s="259"/>
      <c r="E54" s="259"/>
      <c r="F54" s="259"/>
      <c r="G54" s="259"/>
      <c r="H54" s="259"/>
      <c r="I54" s="259"/>
      <c r="J54" s="259"/>
      <c r="K54" s="259"/>
      <c r="L54" s="259"/>
      <c r="M54" s="259"/>
      <c r="N54" s="259"/>
      <c r="O54" s="259"/>
      <c r="P54" s="259"/>
      <c r="Q54" s="259"/>
      <c r="R54" s="259"/>
      <c r="S54" s="259"/>
      <c r="T54" s="259"/>
      <c r="U54" s="259"/>
      <c r="V54" s="259"/>
      <c r="W54" s="341"/>
    </row>
    <row r="55" spans="2:23" ht="12.75">
      <c r="B55" s="337">
        <v>3.4</v>
      </c>
      <c r="C55" s="126" t="s">
        <v>242</v>
      </c>
      <c r="D55" s="215"/>
      <c r="E55" s="216">
        <f>D59</f>
        <v>0</v>
      </c>
      <c r="F55" s="216">
        <f>E59</f>
        <v>17357.662637752182</v>
      </c>
      <c r="G55" s="216">
        <f>F59</f>
        <v>17789.206736480824</v>
      </c>
      <c r="H55" s="216">
        <f aca="true" t="shared" si="30" ref="H55:M55">G59</f>
        <v>41209.24497227239</v>
      </c>
      <c r="I55" s="216">
        <f t="shared" si="30"/>
        <v>42063.87610585159</v>
      </c>
      <c r="J55" s="216">
        <f t="shared" si="30"/>
        <v>43960.08893348045</v>
      </c>
      <c r="K55" s="216">
        <f t="shared" si="30"/>
        <v>377090.0098064019</v>
      </c>
      <c r="L55" s="216">
        <f t="shared" si="30"/>
        <v>388605.9322615675</v>
      </c>
      <c r="M55" s="216">
        <f t="shared" si="30"/>
        <v>402605.6811286316</v>
      </c>
      <c r="N55" s="216">
        <f aca="true" t="shared" si="31" ref="N55:V55">M59</f>
        <v>407347.5315513468</v>
      </c>
      <c r="O55" s="216">
        <f t="shared" si="31"/>
        <v>417084.9227438093</v>
      </c>
      <c r="P55" s="216">
        <f t="shared" si="31"/>
        <v>429662.3863674067</v>
      </c>
      <c r="Q55" s="216">
        <f t="shared" si="31"/>
        <v>436153.980495715</v>
      </c>
      <c r="R55" s="216">
        <f t="shared" si="31"/>
        <v>440616.95145892695</v>
      </c>
      <c r="S55" s="216">
        <f t="shared" si="31"/>
        <v>449137.16875233164</v>
      </c>
      <c r="T55" s="216">
        <f t="shared" si="31"/>
        <v>656096.0040744605</v>
      </c>
      <c r="U55" s="216">
        <f t="shared" si="31"/>
        <v>1364316.8346789817</v>
      </c>
      <c r="V55" s="216">
        <f t="shared" si="31"/>
        <v>1359563.1174849784</v>
      </c>
      <c r="W55" s="341"/>
    </row>
    <row r="56" spans="2:23" ht="12.75">
      <c r="B56" s="337">
        <v>3.4</v>
      </c>
      <c r="C56" s="126" t="s">
        <v>217</v>
      </c>
      <c r="D56" s="215"/>
      <c r="E56" s="215">
        <v>17357.662637752182</v>
      </c>
      <c r="F56" s="215">
        <v>0</v>
      </c>
      <c r="G56" s="215">
        <v>22712.78540731961</v>
      </c>
      <c r="H56" s="215">
        <v>0</v>
      </c>
      <c r="I56" s="215">
        <v>0</v>
      </c>
      <c r="J56" s="215">
        <v>332488.9475227371</v>
      </c>
      <c r="K56" s="215">
        <v>0</v>
      </c>
      <c r="L56" s="215">
        <v>0</v>
      </c>
      <c r="M56" s="215">
        <v>0</v>
      </c>
      <c r="N56" s="215">
        <v>0</v>
      </c>
      <c r="O56" s="215">
        <v>0</v>
      </c>
      <c r="P56" s="215">
        <v>0</v>
      </c>
      <c r="Q56" s="215">
        <v>0</v>
      </c>
      <c r="R56" s="215">
        <v>0</v>
      </c>
      <c r="S56" s="215">
        <v>197627.16876268561</v>
      </c>
      <c r="T56" s="215">
        <v>697769.7438139545</v>
      </c>
      <c r="U56" s="215">
        <v>0</v>
      </c>
      <c r="V56" s="215">
        <v>0</v>
      </c>
      <c r="W56" s="341"/>
    </row>
    <row r="57" spans="2:23" ht="12.75">
      <c r="B57" s="337">
        <v>3.4</v>
      </c>
      <c r="C57" s="126" t="s">
        <v>329</v>
      </c>
      <c r="D57" s="215"/>
      <c r="E57" s="215">
        <v>0</v>
      </c>
      <c r="F57" s="215">
        <v>431.5440987286434</v>
      </c>
      <c r="G57" s="215">
        <v>707.2528284719485</v>
      </c>
      <c r="H57" s="215">
        <v>854.6311335792013</v>
      </c>
      <c r="I57" s="215">
        <v>1896.2128276288643</v>
      </c>
      <c r="J57" s="215">
        <v>640.9733501844056</v>
      </c>
      <c r="K57" s="215">
        <v>11515.922455165583</v>
      </c>
      <c r="L57" s="215">
        <v>13999.748867064067</v>
      </c>
      <c r="M57" s="215">
        <v>4741.850422715248</v>
      </c>
      <c r="N57" s="215">
        <v>9737.391192462468</v>
      </c>
      <c r="O57" s="215">
        <v>12577.463623597412</v>
      </c>
      <c r="P57" s="215">
        <v>6491.594128308274</v>
      </c>
      <c r="Q57" s="215">
        <v>4462.970963211946</v>
      </c>
      <c r="R57" s="215">
        <v>8520.217293404668</v>
      </c>
      <c r="S57" s="215">
        <v>9331.66655944324</v>
      </c>
      <c r="T57" s="215">
        <v>10451.086790566675</v>
      </c>
      <c r="U57" s="215">
        <v>-4753.717194003382</v>
      </c>
      <c r="V57" s="215">
        <v>52290.88913403745</v>
      </c>
      <c r="W57" s="341"/>
    </row>
    <row r="58" spans="2:23" ht="12.75">
      <c r="B58" s="337">
        <v>3.4</v>
      </c>
      <c r="C58" s="126" t="s">
        <v>264</v>
      </c>
      <c r="D58" s="215"/>
      <c r="E58" s="215">
        <v>0</v>
      </c>
      <c r="F58" s="215">
        <v>0</v>
      </c>
      <c r="G58" s="215">
        <v>0</v>
      </c>
      <c r="H58" s="215">
        <v>0</v>
      </c>
      <c r="I58" s="215">
        <v>0</v>
      </c>
      <c r="J58" s="215">
        <v>0</v>
      </c>
      <c r="K58" s="215">
        <v>0</v>
      </c>
      <c r="L58" s="215">
        <v>0</v>
      </c>
      <c r="M58" s="215">
        <v>0</v>
      </c>
      <c r="N58" s="215">
        <v>0</v>
      </c>
      <c r="O58" s="215">
        <v>0</v>
      </c>
      <c r="P58" s="215">
        <v>0</v>
      </c>
      <c r="Q58" s="215">
        <v>0</v>
      </c>
      <c r="R58" s="215">
        <v>0</v>
      </c>
      <c r="S58" s="215">
        <v>0</v>
      </c>
      <c r="T58" s="215">
        <v>0</v>
      </c>
      <c r="U58" s="215">
        <v>0</v>
      </c>
      <c r="V58" s="215">
        <v>0</v>
      </c>
      <c r="W58" s="341"/>
    </row>
    <row r="59" spans="2:23" ht="12.75">
      <c r="B59" s="169"/>
      <c r="C59" s="128" t="s">
        <v>148</v>
      </c>
      <c r="D59" s="216">
        <f>SUM(D55:D58)</f>
        <v>0</v>
      </c>
      <c r="E59" s="216">
        <f>SUM(E55:E58)</f>
        <v>17357.662637752182</v>
      </c>
      <c r="F59" s="216">
        <f>SUM(F55:F58)</f>
        <v>17789.206736480824</v>
      </c>
      <c r="G59" s="216">
        <f>SUM(G55:G58)</f>
        <v>41209.24497227239</v>
      </c>
      <c r="H59" s="216">
        <f aca="true" t="shared" si="32" ref="H59:M59">SUM(H55:H58)</f>
        <v>42063.87610585159</v>
      </c>
      <c r="I59" s="216">
        <f t="shared" si="32"/>
        <v>43960.08893348045</v>
      </c>
      <c r="J59" s="216">
        <f t="shared" si="32"/>
        <v>377090.0098064019</v>
      </c>
      <c r="K59" s="216">
        <f t="shared" si="32"/>
        <v>388605.9322615675</v>
      </c>
      <c r="L59" s="216">
        <f t="shared" si="32"/>
        <v>402605.6811286316</v>
      </c>
      <c r="M59" s="216">
        <f t="shared" si="32"/>
        <v>407347.5315513468</v>
      </c>
      <c r="N59" s="216">
        <f aca="true" t="shared" si="33" ref="N59:V59">SUM(N55:N58)</f>
        <v>417084.9227438093</v>
      </c>
      <c r="O59" s="216">
        <f t="shared" si="33"/>
        <v>429662.3863674067</v>
      </c>
      <c r="P59" s="216">
        <f t="shared" si="33"/>
        <v>436153.980495715</v>
      </c>
      <c r="Q59" s="216">
        <f t="shared" si="33"/>
        <v>440616.95145892695</v>
      </c>
      <c r="R59" s="216">
        <f t="shared" si="33"/>
        <v>449137.16875233164</v>
      </c>
      <c r="S59" s="216">
        <f t="shared" si="33"/>
        <v>656096.0040744605</v>
      </c>
      <c r="T59" s="216">
        <f t="shared" si="33"/>
        <v>1364316.8346789817</v>
      </c>
      <c r="U59" s="216">
        <f t="shared" si="33"/>
        <v>1359563.1174849784</v>
      </c>
      <c r="V59" s="216">
        <f t="shared" si="33"/>
        <v>1411854.006619016</v>
      </c>
      <c r="W59" s="341"/>
    </row>
    <row r="60" spans="2:23" ht="12.75">
      <c r="B60" s="170"/>
      <c r="C60" s="129" t="s">
        <v>228</v>
      </c>
      <c r="D60" s="259"/>
      <c r="E60" s="259"/>
      <c r="F60" s="259"/>
      <c r="G60" s="259"/>
      <c r="H60" s="259"/>
      <c r="I60" s="259"/>
      <c r="J60" s="259"/>
      <c r="K60" s="259"/>
      <c r="L60" s="259"/>
      <c r="M60" s="259"/>
      <c r="N60" s="259"/>
      <c r="O60" s="259"/>
      <c r="P60" s="259"/>
      <c r="Q60" s="259"/>
      <c r="R60" s="259"/>
      <c r="S60" s="259"/>
      <c r="T60" s="259"/>
      <c r="U60" s="259"/>
      <c r="V60" s="259"/>
      <c r="W60" s="341"/>
    </row>
    <row r="61" spans="2:23" ht="12.75">
      <c r="B61" s="337">
        <v>3.4</v>
      </c>
      <c r="C61" s="126" t="s">
        <v>242</v>
      </c>
      <c r="D61" s="215"/>
      <c r="E61" s="216">
        <f>D65</f>
        <v>0</v>
      </c>
      <c r="F61" s="216">
        <f>E65</f>
        <v>25582.29689909422</v>
      </c>
      <c r="G61" s="216">
        <f>F65</f>
        <v>25890.621227496107</v>
      </c>
      <c r="H61" s="216">
        <f aca="true" t="shared" si="34" ref="H61:M61">G65</f>
        <v>592681.2833117781</v>
      </c>
      <c r="I61" s="216">
        <f t="shared" si="34"/>
        <v>597266.0482491329</v>
      </c>
      <c r="J61" s="216">
        <f t="shared" si="34"/>
        <v>109978392.89933132</v>
      </c>
      <c r="K61" s="216">
        <f t="shared" si="34"/>
        <v>102642166.83823122</v>
      </c>
      <c r="L61" s="216">
        <f t="shared" si="34"/>
        <v>96727472.27296925</v>
      </c>
      <c r="M61" s="216">
        <f t="shared" si="34"/>
        <v>91509629.8608113</v>
      </c>
      <c r="N61" s="216">
        <f aca="true" t="shared" si="35" ref="N61:V61">M65</f>
        <v>83145688.99092354</v>
      </c>
      <c r="O61" s="216">
        <f t="shared" si="35"/>
        <v>78852365.23105305</v>
      </c>
      <c r="P61" s="216">
        <f t="shared" si="35"/>
        <v>70571703.87644255</v>
      </c>
      <c r="Q61" s="216">
        <f t="shared" si="35"/>
        <v>60633117.11101055</v>
      </c>
      <c r="R61" s="216">
        <f t="shared" si="35"/>
        <v>52736718.21466333</v>
      </c>
      <c r="S61" s="216">
        <f t="shared" si="35"/>
        <v>43206361.760907084</v>
      </c>
      <c r="T61" s="216">
        <f t="shared" si="35"/>
        <v>33174961.67810488</v>
      </c>
      <c r="U61" s="216">
        <f t="shared" si="35"/>
        <v>23465049.09031769</v>
      </c>
      <c r="V61" s="216">
        <f t="shared" si="35"/>
        <v>13066242.22284345</v>
      </c>
      <c r="W61" s="341"/>
    </row>
    <row r="62" spans="2:23" ht="12.75">
      <c r="B62" s="337">
        <v>3.4</v>
      </c>
      <c r="C62" s="126" t="s">
        <v>217</v>
      </c>
      <c r="D62" s="215"/>
      <c r="E62" s="215">
        <v>25582.29689909422</v>
      </c>
      <c r="F62" s="215">
        <v>0</v>
      </c>
      <c r="G62" s="215">
        <v>566097.1648348409</v>
      </c>
      <c r="H62" s="215">
        <v>0</v>
      </c>
      <c r="I62" s="215">
        <v>109362069.05146012</v>
      </c>
      <c r="J62" s="215">
        <v>471618.14764243213</v>
      </c>
      <c r="K62" s="215">
        <v>505348.8622333086</v>
      </c>
      <c r="L62" s="215">
        <v>1183985.573048298</v>
      </c>
      <c r="M62" s="215">
        <v>1073587.7299100915</v>
      </c>
      <c r="N62" s="215">
        <v>4514023.910256375</v>
      </c>
      <c r="O62" s="215">
        <v>686142.9271907624</v>
      </c>
      <c r="P62" s="215">
        <v>797147.6903665564</v>
      </c>
      <c r="Q62" s="215">
        <v>3495154.0647701384</v>
      </c>
      <c r="R62" s="215">
        <v>1714075.7836042996</v>
      </c>
      <c r="S62" s="215">
        <v>1209859.7977222377</v>
      </c>
      <c r="T62" s="215">
        <v>1435084.1884143136</v>
      </c>
      <c r="U62" s="215">
        <v>1462921.2480482594</v>
      </c>
      <c r="V62" s="215">
        <v>357522.9579525946</v>
      </c>
      <c r="W62" s="341"/>
    </row>
    <row r="63" spans="2:23" ht="12.75">
      <c r="B63" s="337">
        <v>3.4</v>
      </c>
      <c r="C63" s="127" t="s">
        <v>270</v>
      </c>
      <c r="D63" s="215"/>
      <c r="E63" s="215">
        <v>0</v>
      </c>
      <c r="F63" s="215">
        <v>308.3243284018848</v>
      </c>
      <c r="G63" s="215">
        <v>693.497249441091</v>
      </c>
      <c r="H63" s="215">
        <v>4584.764937354847</v>
      </c>
      <c r="I63" s="215">
        <v>19057.799622069782</v>
      </c>
      <c r="J63" s="215">
        <v>-7807844.208742524</v>
      </c>
      <c r="K63" s="215">
        <v>-6420043.427495292</v>
      </c>
      <c r="L63" s="215">
        <v>-6401827.985206254</v>
      </c>
      <c r="M63" s="215">
        <v>-9388275.822702264</v>
      </c>
      <c r="N63" s="215">
        <v>-8761803.52572381</v>
      </c>
      <c r="O63" s="215">
        <v>-8966804.281801274</v>
      </c>
      <c r="P63" s="215">
        <v>-10735734.455798551</v>
      </c>
      <c r="Q63" s="215">
        <v>-11391345.950585533</v>
      </c>
      <c r="R63" s="215">
        <v>-11230554.870675163</v>
      </c>
      <c r="S63" s="215">
        <v>-11225772.631725019</v>
      </c>
      <c r="T63" s="215">
        <v>-11144996.776201509</v>
      </c>
      <c r="U63" s="215">
        <v>-11861728.1155225</v>
      </c>
      <c r="V63" s="215">
        <v>50431.11029933483</v>
      </c>
      <c r="W63" s="341"/>
    </row>
    <row r="64" spans="2:23" ht="12.75">
      <c r="B64" s="337">
        <v>3.4</v>
      </c>
      <c r="C64" s="126" t="s">
        <v>264</v>
      </c>
      <c r="D64" s="215"/>
      <c r="E64" s="215">
        <v>0</v>
      </c>
      <c r="F64" s="215">
        <v>0</v>
      </c>
      <c r="G64" s="215">
        <v>0</v>
      </c>
      <c r="H64" s="215">
        <v>0</v>
      </c>
      <c r="I64" s="215">
        <v>0</v>
      </c>
      <c r="J64" s="215">
        <v>0</v>
      </c>
      <c r="K64" s="215">
        <v>0</v>
      </c>
      <c r="L64" s="215">
        <v>0</v>
      </c>
      <c r="M64" s="215">
        <v>-49252.77709559022</v>
      </c>
      <c r="N64" s="215">
        <v>-45544.14440304059</v>
      </c>
      <c r="O64" s="215">
        <v>0</v>
      </c>
      <c r="P64" s="215">
        <v>0</v>
      </c>
      <c r="Q64" s="215">
        <v>-207.01053182710638</v>
      </c>
      <c r="R64" s="215">
        <v>-13877.3666853858</v>
      </c>
      <c r="S64" s="215">
        <v>-15487.24879941898</v>
      </c>
      <c r="T64" s="215">
        <v>0</v>
      </c>
      <c r="U64" s="215">
        <v>0</v>
      </c>
      <c r="V64" s="215">
        <v>0</v>
      </c>
      <c r="W64" s="341"/>
    </row>
    <row r="65" spans="2:23" ht="12.75">
      <c r="B65" s="169"/>
      <c r="C65" s="128" t="s">
        <v>229</v>
      </c>
      <c r="D65" s="216">
        <f>SUM(D61:D64)</f>
        <v>0</v>
      </c>
      <c r="E65" s="216">
        <f>SUM(E61:E64)</f>
        <v>25582.29689909422</v>
      </c>
      <c r="F65" s="216">
        <f>SUM(F61:F64)</f>
        <v>25890.621227496107</v>
      </c>
      <c r="G65" s="216">
        <f>SUM(G61:G64)</f>
        <v>592681.2833117781</v>
      </c>
      <c r="H65" s="216">
        <f aca="true" t="shared" si="36" ref="H65:M65">SUM(H61:H64)</f>
        <v>597266.0482491329</v>
      </c>
      <c r="I65" s="216">
        <f t="shared" si="36"/>
        <v>109978392.89933132</v>
      </c>
      <c r="J65" s="216">
        <f t="shared" si="36"/>
        <v>102642166.83823122</v>
      </c>
      <c r="K65" s="216">
        <f t="shared" si="36"/>
        <v>96727472.27296925</v>
      </c>
      <c r="L65" s="216">
        <f t="shared" si="36"/>
        <v>91509629.8608113</v>
      </c>
      <c r="M65" s="216">
        <f t="shared" si="36"/>
        <v>83145688.99092354</v>
      </c>
      <c r="N65" s="216">
        <f aca="true" t="shared" si="37" ref="N65:V65">SUM(N61:N64)</f>
        <v>78852365.23105305</v>
      </c>
      <c r="O65" s="216">
        <f t="shared" si="37"/>
        <v>70571703.87644255</v>
      </c>
      <c r="P65" s="216">
        <f t="shared" si="37"/>
        <v>60633117.11101055</v>
      </c>
      <c r="Q65" s="216">
        <f t="shared" si="37"/>
        <v>52736718.21466333</v>
      </c>
      <c r="R65" s="216">
        <f t="shared" si="37"/>
        <v>43206361.760907084</v>
      </c>
      <c r="S65" s="216">
        <f t="shared" si="37"/>
        <v>33174961.67810488</v>
      </c>
      <c r="T65" s="216">
        <f t="shared" si="37"/>
        <v>23465049.09031769</v>
      </c>
      <c r="U65" s="216">
        <f t="shared" si="37"/>
        <v>13066242.22284345</v>
      </c>
      <c r="V65" s="216">
        <f t="shared" si="37"/>
        <v>13474196.291095378</v>
      </c>
      <c r="W65" s="341"/>
    </row>
    <row r="66" spans="2:23" ht="12.75">
      <c r="B66" s="170"/>
      <c r="C66" s="129" t="s">
        <v>293</v>
      </c>
      <c r="D66" s="259"/>
      <c r="E66" s="259"/>
      <c r="F66" s="259"/>
      <c r="G66" s="259"/>
      <c r="H66" s="259"/>
      <c r="I66" s="259"/>
      <c r="J66" s="259"/>
      <c r="K66" s="259"/>
      <c r="L66" s="259"/>
      <c r="M66" s="259"/>
      <c r="N66" s="259"/>
      <c r="O66" s="259"/>
      <c r="P66" s="259"/>
      <c r="Q66" s="259"/>
      <c r="R66" s="259"/>
      <c r="S66" s="259"/>
      <c r="T66" s="259"/>
      <c r="U66" s="259"/>
      <c r="V66" s="259"/>
      <c r="W66" s="341"/>
    </row>
    <row r="67" spans="2:23" ht="12.75">
      <c r="B67" s="337">
        <v>3.4</v>
      </c>
      <c r="C67" s="126" t="s">
        <v>242</v>
      </c>
      <c r="D67" s="215"/>
      <c r="E67" s="216">
        <f>D71</f>
        <v>0</v>
      </c>
      <c r="F67" s="216">
        <f>E71</f>
        <v>0</v>
      </c>
      <c r="G67" s="216">
        <f>F71</f>
        <v>0</v>
      </c>
      <c r="H67" s="216">
        <f aca="true" t="shared" si="38" ref="H67:M67">G71</f>
        <v>0</v>
      </c>
      <c r="I67" s="216">
        <f t="shared" si="38"/>
        <v>0</v>
      </c>
      <c r="J67" s="216">
        <f t="shared" si="38"/>
        <v>0</v>
      </c>
      <c r="K67" s="216">
        <f t="shared" si="38"/>
        <v>0</v>
      </c>
      <c r="L67" s="216">
        <f t="shared" si="38"/>
        <v>0</v>
      </c>
      <c r="M67" s="216">
        <f t="shared" si="38"/>
        <v>0</v>
      </c>
      <c r="N67" s="216">
        <f aca="true" t="shared" si="39" ref="N67:V67">M71</f>
        <v>0</v>
      </c>
      <c r="O67" s="216">
        <f t="shared" si="39"/>
        <v>0</v>
      </c>
      <c r="P67" s="216">
        <f t="shared" si="39"/>
        <v>0</v>
      </c>
      <c r="Q67" s="216">
        <f t="shared" si="39"/>
        <v>0</v>
      </c>
      <c r="R67" s="216">
        <f t="shared" si="39"/>
        <v>0</v>
      </c>
      <c r="S67" s="216">
        <f t="shared" si="39"/>
        <v>0</v>
      </c>
      <c r="T67" s="216">
        <f t="shared" si="39"/>
        <v>0</v>
      </c>
      <c r="U67" s="216">
        <f t="shared" si="39"/>
        <v>0</v>
      </c>
      <c r="V67" s="216">
        <f t="shared" si="39"/>
        <v>804592.4246504498</v>
      </c>
      <c r="W67" s="341"/>
    </row>
    <row r="68" spans="2:23" ht="12.75">
      <c r="B68" s="337">
        <v>3.4</v>
      </c>
      <c r="C68" s="126" t="s">
        <v>217</v>
      </c>
      <c r="D68" s="215"/>
      <c r="E68" s="215">
        <v>0</v>
      </c>
      <c r="F68" s="215">
        <v>0</v>
      </c>
      <c r="G68" s="215">
        <v>0</v>
      </c>
      <c r="H68" s="215">
        <v>0</v>
      </c>
      <c r="I68" s="215">
        <v>0</v>
      </c>
      <c r="J68" s="215">
        <v>0</v>
      </c>
      <c r="K68" s="215">
        <v>0</v>
      </c>
      <c r="L68" s="215">
        <v>0</v>
      </c>
      <c r="M68" s="215">
        <v>0</v>
      </c>
      <c r="N68" s="215">
        <v>0</v>
      </c>
      <c r="O68" s="215">
        <v>0</v>
      </c>
      <c r="P68" s="215">
        <v>0</v>
      </c>
      <c r="Q68" s="215">
        <v>0</v>
      </c>
      <c r="R68" s="215">
        <v>0</v>
      </c>
      <c r="S68" s="215">
        <v>0</v>
      </c>
      <c r="T68" s="215">
        <v>0</v>
      </c>
      <c r="U68" s="215">
        <v>804592.4246504498</v>
      </c>
      <c r="V68" s="215">
        <v>0</v>
      </c>
      <c r="W68" s="341"/>
    </row>
    <row r="69" spans="2:23" ht="12.75">
      <c r="B69" s="337">
        <v>3.4</v>
      </c>
      <c r="C69" s="126" t="s">
        <v>270</v>
      </c>
      <c r="D69" s="215"/>
      <c r="E69" s="215">
        <v>0</v>
      </c>
      <c r="F69" s="215">
        <v>0</v>
      </c>
      <c r="G69" s="215">
        <v>0</v>
      </c>
      <c r="H69" s="215">
        <v>0</v>
      </c>
      <c r="I69" s="215">
        <v>0</v>
      </c>
      <c r="J69" s="215">
        <v>0</v>
      </c>
      <c r="K69" s="215">
        <v>0</v>
      </c>
      <c r="L69" s="215">
        <v>0</v>
      </c>
      <c r="M69" s="215">
        <v>0</v>
      </c>
      <c r="N69" s="215">
        <v>0</v>
      </c>
      <c r="O69" s="215">
        <v>0</v>
      </c>
      <c r="P69" s="215">
        <v>0</v>
      </c>
      <c r="Q69" s="215">
        <v>0</v>
      </c>
      <c r="R69" s="215">
        <v>0</v>
      </c>
      <c r="S69" s="215">
        <v>0</v>
      </c>
      <c r="T69" s="215">
        <v>0</v>
      </c>
      <c r="U69" s="215">
        <v>0</v>
      </c>
      <c r="V69" s="215">
        <v>-71270.66159740344</v>
      </c>
      <c r="W69" s="341"/>
    </row>
    <row r="70" spans="2:23" ht="12.75">
      <c r="B70" s="337">
        <v>3.4</v>
      </c>
      <c r="C70" s="126" t="s">
        <v>264</v>
      </c>
      <c r="D70" s="215"/>
      <c r="E70" s="215">
        <v>0</v>
      </c>
      <c r="F70" s="215">
        <v>0</v>
      </c>
      <c r="G70" s="215">
        <v>0</v>
      </c>
      <c r="H70" s="215">
        <v>0</v>
      </c>
      <c r="I70" s="215">
        <v>0</v>
      </c>
      <c r="J70" s="215">
        <v>0</v>
      </c>
      <c r="K70" s="215">
        <v>0</v>
      </c>
      <c r="L70" s="215">
        <v>0</v>
      </c>
      <c r="M70" s="215">
        <v>0</v>
      </c>
      <c r="N70" s="215">
        <v>0</v>
      </c>
      <c r="O70" s="215">
        <v>0</v>
      </c>
      <c r="P70" s="215">
        <v>0</v>
      </c>
      <c r="Q70" s="215">
        <v>0</v>
      </c>
      <c r="R70" s="215">
        <v>0</v>
      </c>
      <c r="S70" s="215">
        <v>0</v>
      </c>
      <c r="T70" s="215">
        <v>0</v>
      </c>
      <c r="U70" s="215">
        <v>0</v>
      </c>
      <c r="V70" s="215">
        <v>0</v>
      </c>
      <c r="W70" s="341"/>
    </row>
    <row r="71" spans="2:23" ht="12.75">
      <c r="B71" s="169"/>
      <c r="C71" s="128" t="s">
        <v>294</v>
      </c>
      <c r="D71" s="216">
        <f>SUM(D67:D70)</f>
        <v>0</v>
      </c>
      <c r="E71" s="216">
        <f>SUM(E67:E70)</f>
        <v>0</v>
      </c>
      <c r="F71" s="216">
        <f>SUM(F67:F70)</f>
        <v>0</v>
      </c>
      <c r="G71" s="216">
        <f>SUM(G67:G70)</f>
        <v>0</v>
      </c>
      <c r="H71" s="216">
        <f aca="true" t="shared" si="40" ref="H71:M71">SUM(H67:H70)</f>
        <v>0</v>
      </c>
      <c r="I71" s="216">
        <f t="shared" si="40"/>
        <v>0</v>
      </c>
      <c r="J71" s="216">
        <f t="shared" si="40"/>
        <v>0</v>
      </c>
      <c r="K71" s="216">
        <f t="shared" si="40"/>
        <v>0</v>
      </c>
      <c r="L71" s="216">
        <f t="shared" si="40"/>
        <v>0</v>
      </c>
      <c r="M71" s="216">
        <f t="shared" si="40"/>
        <v>0</v>
      </c>
      <c r="N71" s="216">
        <f aca="true" t="shared" si="41" ref="N71:U71">SUM(N67:N70)</f>
        <v>0</v>
      </c>
      <c r="O71" s="216">
        <f t="shared" si="41"/>
        <v>0</v>
      </c>
      <c r="P71" s="216">
        <f t="shared" si="41"/>
        <v>0</v>
      </c>
      <c r="Q71" s="216">
        <f t="shared" si="41"/>
        <v>0</v>
      </c>
      <c r="R71" s="216">
        <f t="shared" si="41"/>
        <v>0</v>
      </c>
      <c r="S71" s="216">
        <f t="shared" si="41"/>
        <v>0</v>
      </c>
      <c r="T71" s="216">
        <f t="shared" si="41"/>
        <v>0</v>
      </c>
      <c r="U71" s="216">
        <f t="shared" si="41"/>
        <v>804592.4246504498</v>
      </c>
      <c r="V71" s="216">
        <f>SUM(V67:V70)</f>
        <v>733321.7630530463</v>
      </c>
      <c r="W71" s="341"/>
    </row>
    <row r="72" spans="2:23" ht="12.75">
      <c r="B72" s="169"/>
      <c r="C72" s="128" t="s">
        <v>78</v>
      </c>
      <c r="D72" s="217">
        <f>SUM(D17,D23,D29,D35,D41,D47,D53,D59,D65,D71)</f>
        <v>859326892.4120444</v>
      </c>
      <c r="E72" s="217">
        <f>SUM(E17,E23,E29,E35,E41,E47,E53,E59,E65,E71)</f>
        <v>871188706.4519658</v>
      </c>
      <c r="F72" s="217">
        <f>SUM(F17,F23,F29,F35,F41,F47,F53,F59,F65,F71)</f>
        <v>885115476.5441017</v>
      </c>
      <c r="G72" s="217">
        <f>SUM(G17,G23,G29,G35,G41,G47,G53,G59,G65,G71)</f>
        <v>909533882.3762963</v>
      </c>
      <c r="H72" s="217">
        <f aca="true" t="shared" si="42" ref="H72:M72">SUM(H17,H23,H29,H35,H41,H47,H53,H59,H65,H71)</f>
        <v>920620148.7958847</v>
      </c>
      <c r="I72" s="217">
        <f t="shared" si="42"/>
        <v>1061414713.4023187</v>
      </c>
      <c r="J72" s="217">
        <f t="shared" si="42"/>
        <v>1094821125.8433716</v>
      </c>
      <c r="K72" s="217">
        <f t="shared" si="42"/>
        <v>1127097691.7481813</v>
      </c>
      <c r="L72" s="217">
        <f t="shared" si="42"/>
        <v>1197570400.5824797</v>
      </c>
      <c r="M72" s="217">
        <f t="shared" si="42"/>
        <v>1208850366.6432285</v>
      </c>
      <c r="N72" s="217">
        <f aca="true" t="shared" si="43" ref="N72:V72">SUM(N17,N23,N29,N35,N41,N47,N53,N59,N65,N71)</f>
        <v>1257038786.5129976</v>
      </c>
      <c r="O72" s="217">
        <f t="shared" si="43"/>
        <v>1299971716.2438998</v>
      </c>
      <c r="P72" s="217">
        <f t="shared" si="43"/>
        <v>1319132749.3433702</v>
      </c>
      <c r="Q72" s="217">
        <f t="shared" si="43"/>
        <v>1329749529.3727791</v>
      </c>
      <c r="R72" s="217">
        <f t="shared" si="43"/>
        <v>1418098510.309494</v>
      </c>
      <c r="S72" s="217">
        <f t="shared" si="43"/>
        <v>1454385187.402009</v>
      </c>
      <c r="T72" s="217">
        <f t="shared" si="43"/>
        <v>1462946761.9778788</v>
      </c>
      <c r="U72" s="217">
        <f t="shared" si="43"/>
        <v>1476260018.624094</v>
      </c>
      <c r="V72" s="217">
        <f t="shared" si="43"/>
        <v>1551355584.852856</v>
      </c>
      <c r="W72" s="341"/>
    </row>
    <row r="73" spans="2:23" ht="12.75">
      <c r="B73" s="170"/>
      <c r="C73" s="129" t="s">
        <v>118</v>
      </c>
      <c r="D73" s="259"/>
      <c r="E73" s="259"/>
      <c r="F73" s="259"/>
      <c r="G73" s="259"/>
      <c r="H73" s="259"/>
      <c r="I73" s="259"/>
      <c r="J73" s="259"/>
      <c r="K73" s="259"/>
      <c r="L73" s="259"/>
      <c r="M73" s="259"/>
      <c r="N73" s="259"/>
      <c r="O73" s="259"/>
      <c r="P73" s="259"/>
      <c r="Q73" s="259"/>
      <c r="R73" s="259"/>
      <c r="S73" s="259"/>
      <c r="T73" s="259"/>
      <c r="U73" s="259"/>
      <c r="V73" s="259"/>
      <c r="W73" s="341"/>
    </row>
    <row r="74" spans="2:23" ht="12.75">
      <c r="B74" s="337">
        <v>3.4</v>
      </c>
      <c r="C74" s="126" t="s">
        <v>242</v>
      </c>
      <c r="D74" s="215"/>
      <c r="E74" s="216">
        <f>D78</f>
        <v>0</v>
      </c>
      <c r="F74" s="216">
        <f>E78</f>
        <v>0</v>
      </c>
      <c r="G74" s="216">
        <f>F78</f>
        <v>0</v>
      </c>
      <c r="H74" s="216">
        <f aca="true" t="shared" si="44" ref="H74:M74">G78</f>
        <v>0</v>
      </c>
      <c r="I74" s="216">
        <f t="shared" si="44"/>
        <v>159316.63594278638</v>
      </c>
      <c r="J74" s="216">
        <f t="shared" si="44"/>
        <v>887815.7920296028</v>
      </c>
      <c r="K74" s="216">
        <f t="shared" si="44"/>
        <v>1229058.592652464</v>
      </c>
      <c r="L74" s="216">
        <f t="shared" si="44"/>
        <v>1608006.9303444154</v>
      </c>
      <c r="M74" s="216">
        <f t="shared" si="44"/>
        <v>4324787.127250496</v>
      </c>
      <c r="N74" s="216">
        <f aca="true" t="shared" si="45" ref="N74:V74">M78</f>
        <v>4352738.706603914</v>
      </c>
      <c r="O74" s="216">
        <f t="shared" si="45"/>
        <v>4008468.126716485</v>
      </c>
      <c r="P74" s="216">
        <f t="shared" si="45"/>
        <v>3509360.78826158</v>
      </c>
      <c r="Q74" s="216">
        <f t="shared" si="45"/>
        <v>5674398.790506964</v>
      </c>
      <c r="R74" s="216">
        <f t="shared" si="45"/>
        <v>7596002.5958003355</v>
      </c>
      <c r="S74" s="216">
        <f t="shared" si="45"/>
        <v>7275262.216410059</v>
      </c>
      <c r="T74" s="216">
        <f t="shared" si="45"/>
        <v>8300456.362843039</v>
      </c>
      <c r="U74" s="216">
        <f t="shared" si="45"/>
        <v>10182906.818224112</v>
      </c>
      <c r="V74" s="216">
        <f t="shared" si="45"/>
        <v>10685972.078120667</v>
      </c>
      <c r="W74" s="341"/>
    </row>
    <row r="75" spans="2:23" ht="12.75">
      <c r="B75" s="337">
        <v>3.4</v>
      </c>
      <c r="C75" s="126" t="s">
        <v>217</v>
      </c>
      <c r="D75" s="215"/>
      <c r="E75" s="215">
        <v>0</v>
      </c>
      <c r="F75" s="215">
        <v>0</v>
      </c>
      <c r="G75" s="215">
        <v>0</v>
      </c>
      <c r="H75" s="215">
        <v>159408.54678393196</v>
      </c>
      <c r="I75" s="215">
        <v>754054.6058718112</v>
      </c>
      <c r="J75" s="215">
        <v>519852.85474527697</v>
      </c>
      <c r="K75" s="215">
        <v>641248.9058782727</v>
      </c>
      <c r="L75" s="215">
        <v>3107098.7599514225</v>
      </c>
      <c r="M75" s="215">
        <v>1152689.944146074</v>
      </c>
      <c r="N75" s="215">
        <v>883000.8861936424</v>
      </c>
      <c r="O75" s="215">
        <v>589607.3563573984</v>
      </c>
      <c r="P75" s="215">
        <v>3476415.300779691</v>
      </c>
      <c r="Q75" s="215">
        <v>3917526.735103192</v>
      </c>
      <c r="R75" s="215">
        <v>1807992.6501706946</v>
      </c>
      <c r="S75" s="215">
        <v>2878646.714333315</v>
      </c>
      <c r="T75" s="215">
        <v>4397403.992352635</v>
      </c>
      <c r="U75" s="215">
        <v>3996758.5356404707</v>
      </c>
      <c r="V75" s="215">
        <v>2382636.276721568</v>
      </c>
      <c r="W75" s="341"/>
    </row>
    <row r="76" spans="2:23" ht="12.75">
      <c r="B76" s="337">
        <v>3.4</v>
      </c>
      <c r="C76" s="126" t="s">
        <v>271</v>
      </c>
      <c r="D76" s="215"/>
      <c r="E76" s="215">
        <v>0</v>
      </c>
      <c r="F76" s="215">
        <v>0</v>
      </c>
      <c r="G76" s="215">
        <v>0</v>
      </c>
      <c r="H76" s="215">
        <v>0</v>
      </c>
      <c r="I76" s="215">
        <v>-25342.24221612189</v>
      </c>
      <c r="J76" s="215">
        <v>-178610.0541224157</v>
      </c>
      <c r="K76" s="215">
        <v>-262300.56818632135</v>
      </c>
      <c r="L76" s="215">
        <v>-383228.3518252023</v>
      </c>
      <c r="M76" s="215">
        <v>-1048451.3708524306</v>
      </c>
      <c r="N76" s="215">
        <v>-1188850.351595538</v>
      </c>
      <c r="O76" s="215">
        <v>-1049537.768972749</v>
      </c>
      <c r="P76" s="215">
        <v>-1266094.6345222294</v>
      </c>
      <c r="Q76" s="215">
        <v>-1977576.9564151692</v>
      </c>
      <c r="R76" s="215">
        <v>-2087451.8958122071</v>
      </c>
      <c r="S76" s="215">
        <v>-1847943.8477361323</v>
      </c>
      <c r="T76" s="215">
        <v>-2494983.0343669793</v>
      </c>
      <c r="U76" s="215">
        <v>-3471028.3530134507</v>
      </c>
      <c r="V76" s="215">
        <v>-3063321.5966725126</v>
      </c>
      <c r="W76" s="341"/>
    </row>
    <row r="77" spans="2:23" ht="12.75">
      <c r="B77" s="337">
        <v>3.4</v>
      </c>
      <c r="C77" s="126" t="s">
        <v>276</v>
      </c>
      <c r="D77" s="215"/>
      <c r="E77" s="215">
        <v>0</v>
      </c>
      <c r="F77" s="215">
        <v>0</v>
      </c>
      <c r="G77" s="215">
        <v>0</v>
      </c>
      <c r="H77" s="215">
        <v>-91.91084114557702</v>
      </c>
      <c r="I77" s="215">
        <v>-213.20756887288988</v>
      </c>
      <c r="J77" s="215">
        <v>0</v>
      </c>
      <c r="K77" s="215">
        <v>0</v>
      </c>
      <c r="L77" s="215">
        <v>-7090.2112201396585</v>
      </c>
      <c r="M77" s="215">
        <v>-76286.99394022694</v>
      </c>
      <c r="N77" s="215">
        <v>-38421.11448553361</v>
      </c>
      <c r="O77" s="215">
        <v>-39176.92583955411</v>
      </c>
      <c r="P77" s="215">
        <v>-45282.66401207768</v>
      </c>
      <c r="Q77" s="215">
        <v>-18345.973394651868</v>
      </c>
      <c r="R77" s="215">
        <v>-41281.13374876431</v>
      </c>
      <c r="S77" s="215">
        <v>-5508.720164201826</v>
      </c>
      <c r="T77" s="215">
        <v>-19970.502604583442</v>
      </c>
      <c r="U77" s="215">
        <v>-22664.922730465143</v>
      </c>
      <c r="V77" s="215">
        <v>0</v>
      </c>
      <c r="W77" s="341"/>
    </row>
    <row r="78" spans="2:23" ht="12.75">
      <c r="B78" s="169"/>
      <c r="C78" s="128" t="s">
        <v>119</v>
      </c>
      <c r="D78" s="216">
        <f>SUM(D74:D77)</f>
        <v>0</v>
      </c>
      <c r="E78" s="216">
        <f>SUM(E74:E77)</f>
        <v>0</v>
      </c>
      <c r="F78" s="216">
        <f>SUM(F74:F77)</f>
        <v>0</v>
      </c>
      <c r="G78" s="216">
        <f>SUM(G74:G77)</f>
        <v>0</v>
      </c>
      <c r="H78" s="216">
        <f aca="true" t="shared" si="46" ref="H78:M78">SUM(H74:H77)</f>
        <v>159316.63594278638</v>
      </c>
      <c r="I78" s="216">
        <f t="shared" si="46"/>
        <v>887815.7920296028</v>
      </c>
      <c r="J78" s="216">
        <f t="shared" si="46"/>
        <v>1229058.592652464</v>
      </c>
      <c r="K78" s="216">
        <f t="shared" si="46"/>
        <v>1608006.9303444154</v>
      </c>
      <c r="L78" s="216">
        <f t="shared" si="46"/>
        <v>4324787.127250496</v>
      </c>
      <c r="M78" s="216">
        <f t="shared" si="46"/>
        <v>4352738.706603914</v>
      </c>
      <c r="N78" s="216">
        <f aca="true" t="shared" si="47" ref="N78:V78">SUM(N74:N77)</f>
        <v>4008468.126716485</v>
      </c>
      <c r="O78" s="216">
        <f t="shared" si="47"/>
        <v>3509360.78826158</v>
      </c>
      <c r="P78" s="216">
        <f t="shared" si="47"/>
        <v>5674398.790506964</v>
      </c>
      <c r="Q78" s="216">
        <f t="shared" si="47"/>
        <v>7596002.5958003355</v>
      </c>
      <c r="R78" s="216">
        <f t="shared" si="47"/>
        <v>7275262.216410059</v>
      </c>
      <c r="S78" s="216">
        <f t="shared" si="47"/>
        <v>8300456.362843039</v>
      </c>
      <c r="T78" s="216">
        <f t="shared" si="47"/>
        <v>10182906.818224112</v>
      </c>
      <c r="U78" s="216">
        <f t="shared" si="47"/>
        <v>10685972.078120667</v>
      </c>
      <c r="V78" s="216">
        <f t="shared" si="47"/>
        <v>10005286.758169722</v>
      </c>
      <c r="W78" s="341"/>
    </row>
    <row r="79" spans="2:23" ht="12.75">
      <c r="B79" s="170"/>
      <c r="C79" s="129" t="s">
        <v>295</v>
      </c>
      <c r="D79" s="259"/>
      <c r="E79" s="259"/>
      <c r="F79" s="259"/>
      <c r="G79" s="259"/>
      <c r="H79" s="259"/>
      <c r="I79" s="259"/>
      <c r="J79" s="259"/>
      <c r="K79" s="259"/>
      <c r="L79" s="259"/>
      <c r="M79" s="259"/>
      <c r="N79" s="259"/>
      <c r="O79" s="259"/>
      <c r="P79" s="259"/>
      <c r="Q79" s="259"/>
      <c r="R79" s="259"/>
      <c r="S79" s="259"/>
      <c r="T79" s="259"/>
      <c r="U79" s="259"/>
      <c r="V79" s="259"/>
      <c r="W79" s="341"/>
    </row>
    <row r="80" spans="2:23" ht="12.75">
      <c r="B80" s="337">
        <v>3.4</v>
      </c>
      <c r="C80" s="126" t="s">
        <v>242</v>
      </c>
      <c r="D80" s="215"/>
      <c r="E80" s="216">
        <f>D84</f>
        <v>0</v>
      </c>
      <c r="F80" s="216">
        <f>E84</f>
        <v>0</v>
      </c>
      <c r="G80" s="216">
        <f>F84</f>
        <v>0</v>
      </c>
      <c r="H80" s="216">
        <f aca="true" t="shared" si="48" ref="H80:M80">G84</f>
        <v>0</v>
      </c>
      <c r="I80" s="216">
        <f t="shared" si="48"/>
        <v>0</v>
      </c>
      <c r="J80" s="216">
        <f t="shared" si="48"/>
        <v>0</v>
      </c>
      <c r="K80" s="216">
        <f t="shared" si="48"/>
        <v>0</v>
      </c>
      <c r="L80" s="216">
        <f t="shared" si="48"/>
        <v>0</v>
      </c>
      <c r="M80" s="216">
        <f t="shared" si="48"/>
        <v>0</v>
      </c>
      <c r="N80" s="216">
        <f aca="true" t="shared" si="49" ref="N80:V80">M84</f>
        <v>0</v>
      </c>
      <c r="O80" s="216">
        <f t="shared" si="49"/>
        <v>0</v>
      </c>
      <c r="P80" s="216">
        <f t="shared" si="49"/>
        <v>0</v>
      </c>
      <c r="Q80" s="216">
        <f t="shared" si="49"/>
        <v>0</v>
      </c>
      <c r="R80" s="216">
        <f t="shared" si="49"/>
        <v>0</v>
      </c>
      <c r="S80" s="216">
        <f t="shared" si="49"/>
        <v>0</v>
      </c>
      <c r="T80" s="216">
        <f t="shared" si="49"/>
        <v>0</v>
      </c>
      <c r="U80" s="216">
        <f t="shared" si="49"/>
        <v>0</v>
      </c>
      <c r="V80" s="216">
        <f t="shared" si="49"/>
        <v>3239809.4257872486</v>
      </c>
      <c r="W80" s="341"/>
    </row>
    <row r="81" spans="2:23" ht="12.75">
      <c r="B81" s="337">
        <v>3.4</v>
      </c>
      <c r="C81" s="126" t="s">
        <v>217</v>
      </c>
      <c r="D81" s="215"/>
      <c r="E81" s="215">
        <v>0</v>
      </c>
      <c r="F81" s="215">
        <v>0</v>
      </c>
      <c r="G81" s="215">
        <v>0</v>
      </c>
      <c r="H81" s="215">
        <v>0</v>
      </c>
      <c r="I81" s="215">
        <v>0</v>
      </c>
      <c r="J81" s="215">
        <v>0</v>
      </c>
      <c r="K81" s="215">
        <v>0</v>
      </c>
      <c r="L81" s="215">
        <v>0</v>
      </c>
      <c r="M81" s="215">
        <v>0</v>
      </c>
      <c r="N81" s="215">
        <v>0</v>
      </c>
      <c r="O81" s="215">
        <v>0</v>
      </c>
      <c r="P81" s="215">
        <v>0</v>
      </c>
      <c r="Q81" s="215">
        <v>0</v>
      </c>
      <c r="R81" s="215">
        <v>0</v>
      </c>
      <c r="S81" s="215">
        <v>0</v>
      </c>
      <c r="T81" s="215">
        <v>0</v>
      </c>
      <c r="U81" s="215">
        <v>3239809.4257872486</v>
      </c>
      <c r="V81" s="215">
        <v>767363.4507835602</v>
      </c>
      <c r="W81" s="341"/>
    </row>
    <row r="82" spans="2:23" ht="12.75">
      <c r="B82" s="337">
        <v>3.4</v>
      </c>
      <c r="C82" s="126" t="s">
        <v>270</v>
      </c>
      <c r="D82" s="215"/>
      <c r="E82" s="215">
        <v>0</v>
      </c>
      <c r="F82" s="215">
        <v>0</v>
      </c>
      <c r="G82" s="215">
        <v>0</v>
      </c>
      <c r="H82" s="215">
        <v>0</v>
      </c>
      <c r="I82" s="215">
        <v>0</v>
      </c>
      <c r="J82" s="215">
        <v>0</v>
      </c>
      <c r="K82" s="215">
        <v>0</v>
      </c>
      <c r="L82" s="215">
        <v>0</v>
      </c>
      <c r="M82" s="215">
        <v>0</v>
      </c>
      <c r="N82" s="215">
        <v>0</v>
      </c>
      <c r="O82" s="215">
        <v>0</v>
      </c>
      <c r="P82" s="215">
        <v>0</v>
      </c>
      <c r="Q82" s="215">
        <v>0</v>
      </c>
      <c r="R82" s="215">
        <v>0</v>
      </c>
      <c r="S82" s="215">
        <v>0</v>
      </c>
      <c r="T82" s="215">
        <v>0</v>
      </c>
      <c r="U82" s="215">
        <v>0</v>
      </c>
      <c r="V82" s="215">
        <v>-521096.1234025542</v>
      </c>
      <c r="W82" s="341"/>
    </row>
    <row r="83" spans="2:23" ht="12.75">
      <c r="B83" s="337">
        <v>3.4</v>
      </c>
      <c r="C83" s="126" t="s">
        <v>264</v>
      </c>
      <c r="D83" s="215"/>
      <c r="E83" s="215">
        <v>0</v>
      </c>
      <c r="F83" s="215">
        <v>0</v>
      </c>
      <c r="G83" s="215">
        <v>0</v>
      </c>
      <c r="H83" s="215">
        <v>0</v>
      </c>
      <c r="I83" s="215">
        <v>0</v>
      </c>
      <c r="J83" s="215">
        <v>0</v>
      </c>
      <c r="K83" s="215">
        <v>0</v>
      </c>
      <c r="L83" s="215">
        <v>0</v>
      </c>
      <c r="M83" s="215">
        <v>0</v>
      </c>
      <c r="N83" s="215">
        <v>0</v>
      </c>
      <c r="O83" s="215">
        <v>0</v>
      </c>
      <c r="P83" s="215">
        <v>0</v>
      </c>
      <c r="Q83" s="215">
        <v>0</v>
      </c>
      <c r="R83" s="215">
        <v>0</v>
      </c>
      <c r="S83" s="215">
        <v>0</v>
      </c>
      <c r="T83" s="215">
        <v>0</v>
      </c>
      <c r="U83" s="215">
        <v>0</v>
      </c>
      <c r="V83" s="215">
        <v>0</v>
      </c>
      <c r="W83" s="341"/>
    </row>
    <row r="84" spans="2:23" ht="12.75">
      <c r="B84" s="169"/>
      <c r="C84" s="128" t="s">
        <v>296</v>
      </c>
      <c r="D84" s="216">
        <f>SUM(D80:D83)</f>
        <v>0</v>
      </c>
      <c r="E84" s="216">
        <f>SUM(E80:E83)</f>
        <v>0</v>
      </c>
      <c r="F84" s="216">
        <f>SUM(F80:F83)</f>
        <v>0</v>
      </c>
      <c r="G84" s="216">
        <f>SUM(G80:G83)</f>
        <v>0</v>
      </c>
      <c r="H84" s="216">
        <f aca="true" t="shared" si="50" ref="H84:M84">SUM(H80:H83)</f>
        <v>0</v>
      </c>
      <c r="I84" s="216">
        <f t="shared" si="50"/>
        <v>0</v>
      </c>
      <c r="J84" s="216">
        <f t="shared" si="50"/>
        <v>0</v>
      </c>
      <c r="K84" s="216">
        <f t="shared" si="50"/>
        <v>0</v>
      </c>
      <c r="L84" s="216">
        <f t="shared" si="50"/>
        <v>0</v>
      </c>
      <c r="M84" s="216">
        <f t="shared" si="50"/>
        <v>0</v>
      </c>
      <c r="N84" s="216">
        <f aca="true" t="shared" si="51" ref="N84:V84">SUM(N80:N83)</f>
        <v>0</v>
      </c>
      <c r="O84" s="216">
        <f t="shared" si="51"/>
        <v>0</v>
      </c>
      <c r="P84" s="216">
        <f t="shared" si="51"/>
        <v>0</v>
      </c>
      <c r="Q84" s="216">
        <f t="shared" si="51"/>
        <v>0</v>
      </c>
      <c r="R84" s="216">
        <f t="shared" si="51"/>
        <v>0</v>
      </c>
      <c r="S84" s="216">
        <f t="shared" si="51"/>
        <v>0</v>
      </c>
      <c r="T84" s="216">
        <f t="shared" si="51"/>
        <v>0</v>
      </c>
      <c r="U84" s="216">
        <f>SUM(U80:U83)</f>
        <v>3239809.4257872486</v>
      </c>
      <c r="V84" s="216">
        <f t="shared" si="51"/>
        <v>3486076.7531682546</v>
      </c>
      <c r="W84" s="341"/>
    </row>
    <row r="85" spans="2:23" ht="12.75">
      <c r="B85" s="168"/>
      <c r="C85" s="126" t="s">
        <v>273</v>
      </c>
      <c r="D85" s="215"/>
      <c r="E85" s="216">
        <f>D87</f>
        <v>0</v>
      </c>
      <c r="F85" s="216">
        <f>E87</f>
        <v>0</v>
      </c>
      <c r="G85" s="216">
        <f>F87</f>
        <v>0</v>
      </c>
      <c r="H85" s="216">
        <f aca="true" t="shared" si="52" ref="H85:M85">G87</f>
        <v>0</v>
      </c>
      <c r="I85" s="216">
        <f t="shared" si="52"/>
        <v>0</v>
      </c>
      <c r="J85" s="216">
        <f t="shared" si="52"/>
        <v>0</v>
      </c>
      <c r="K85" s="216">
        <f t="shared" si="52"/>
        <v>0</v>
      </c>
      <c r="L85" s="216">
        <f t="shared" si="52"/>
        <v>0</v>
      </c>
      <c r="M85" s="216">
        <f t="shared" si="52"/>
        <v>0</v>
      </c>
      <c r="N85" s="216">
        <f aca="true" t="shared" si="53" ref="N85:U85">M87</f>
        <v>0</v>
      </c>
      <c r="O85" s="216">
        <f t="shared" si="53"/>
        <v>0</v>
      </c>
      <c r="P85" s="216">
        <f t="shared" si="53"/>
        <v>0</v>
      </c>
      <c r="Q85" s="216">
        <f t="shared" si="53"/>
        <v>0</v>
      </c>
      <c r="R85" s="216">
        <f t="shared" si="53"/>
        <v>0</v>
      </c>
      <c r="S85" s="216">
        <f t="shared" si="53"/>
        <v>0</v>
      </c>
      <c r="T85" s="216">
        <f t="shared" si="53"/>
        <v>0</v>
      </c>
      <c r="U85" s="216">
        <f t="shared" si="53"/>
        <v>0</v>
      </c>
      <c r="V85" s="216">
        <f>T87</f>
        <v>0</v>
      </c>
      <c r="W85" s="341"/>
    </row>
    <row r="86" spans="2:23" ht="12.75">
      <c r="B86" s="168"/>
      <c r="C86" s="126" t="s">
        <v>274</v>
      </c>
      <c r="D86" s="215"/>
      <c r="E86" s="215">
        <v>0</v>
      </c>
      <c r="F86" s="215">
        <v>0</v>
      </c>
      <c r="G86" s="215">
        <v>0</v>
      </c>
      <c r="H86" s="215">
        <v>0</v>
      </c>
      <c r="I86" s="215">
        <v>0</v>
      </c>
      <c r="J86" s="215">
        <v>0</v>
      </c>
      <c r="K86" s="215">
        <v>0</v>
      </c>
      <c r="L86" s="215">
        <v>0</v>
      </c>
      <c r="M86" s="215">
        <v>0</v>
      </c>
      <c r="N86" s="215">
        <v>0</v>
      </c>
      <c r="O86" s="215">
        <v>0</v>
      </c>
      <c r="P86" s="215">
        <v>0</v>
      </c>
      <c r="Q86" s="215">
        <v>0</v>
      </c>
      <c r="R86" s="215">
        <v>0</v>
      </c>
      <c r="S86" s="215">
        <v>0</v>
      </c>
      <c r="T86" s="215">
        <v>0</v>
      </c>
      <c r="U86" s="215">
        <v>0</v>
      </c>
      <c r="V86" s="215">
        <v>0</v>
      </c>
      <c r="W86" s="341"/>
    </row>
    <row r="87" spans="2:23" ht="12.75">
      <c r="B87" s="169"/>
      <c r="C87" s="128" t="s">
        <v>275</v>
      </c>
      <c r="D87" s="216">
        <f>D85+D86</f>
        <v>0</v>
      </c>
      <c r="E87" s="216">
        <f>E85+E86</f>
        <v>0</v>
      </c>
      <c r="F87" s="216">
        <f>F85+F86</f>
        <v>0</v>
      </c>
      <c r="G87" s="216">
        <f>G85+G86</f>
        <v>0</v>
      </c>
      <c r="H87" s="216">
        <f aca="true" t="shared" si="54" ref="H87:M87">H85+H86</f>
        <v>0</v>
      </c>
      <c r="I87" s="216">
        <f t="shared" si="54"/>
        <v>0</v>
      </c>
      <c r="J87" s="216">
        <f t="shared" si="54"/>
        <v>0</v>
      </c>
      <c r="K87" s="216">
        <f t="shared" si="54"/>
        <v>0</v>
      </c>
      <c r="L87" s="216">
        <f t="shared" si="54"/>
        <v>0</v>
      </c>
      <c r="M87" s="216">
        <f t="shared" si="54"/>
        <v>0</v>
      </c>
      <c r="N87" s="216">
        <f aca="true" t="shared" si="55" ref="N87:V87">N85+N86</f>
        <v>0</v>
      </c>
      <c r="O87" s="216">
        <f t="shared" si="55"/>
        <v>0</v>
      </c>
      <c r="P87" s="216">
        <f t="shared" si="55"/>
        <v>0</v>
      </c>
      <c r="Q87" s="216">
        <f t="shared" si="55"/>
        <v>0</v>
      </c>
      <c r="R87" s="216">
        <f t="shared" si="55"/>
        <v>0</v>
      </c>
      <c r="S87" s="216">
        <f t="shared" si="55"/>
        <v>0</v>
      </c>
      <c r="T87" s="216">
        <f t="shared" si="55"/>
        <v>0</v>
      </c>
      <c r="U87" s="216">
        <f>U85+U86</f>
        <v>0</v>
      </c>
      <c r="V87" s="216">
        <f t="shared" si="55"/>
        <v>0</v>
      </c>
      <c r="W87" s="341"/>
    </row>
    <row r="88" spans="2:23" ht="12.75">
      <c r="B88" s="169"/>
      <c r="C88" s="128" t="s">
        <v>120</v>
      </c>
      <c r="D88" s="217">
        <f>SUM(D78,D84,D87)</f>
        <v>0</v>
      </c>
      <c r="E88" s="217">
        <f>SUM(E78,E84,E87)</f>
        <v>0</v>
      </c>
      <c r="F88" s="217">
        <f>SUM(F78,F84,F87)</f>
        <v>0</v>
      </c>
      <c r="G88" s="217">
        <f>SUM(G78,G84,G87)</f>
        <v>0</v>
      </c>
      <c r="H88" s="217">
        <f aca="true" t="shared" si="56" ref="H88:M88">SUM(H78,H84,H87)</f>
        <v>159316.63594278638</v>
      </c>
      <c r="I88" s="217">
        <f t="shared" si="56"/>
        <v>887815.7920296028</v>
      </c>
      <c r="J88" s="217">
        <f t="shared" si="56"/>
        <v>1229058.592652464</v>
      </c>
      <c r="K88" s="217">
        <f t="shared" si="56"/>
        <v>1608006.9303444154</v>
      </c>
      <c r="L88" s="217">
        <f t="shared" si="56"/>
        <v>4324787.127250496</v>
      </c>
      <c r="M88" s="217">
        <f t="shared" si="56"/>
        <v>4352738.706603914</v>
      </c>
      <c r="N88" s="217">
        <f aca="true" t="shared" si="57" ref="N88:V88">SUM(N78,N84,N87)</f>
        <v>4008468.126716485</v>
      </c>
      <c r="O88" s="217">
        <f t="shared" si="57"/>
        <v>3509360.78826158</v>
      </c>
      <c r="P88" s="217">
        <f t="shared" si="57"/>
        <v>5674398.790506964</v>
      </c>
      <c r="Q88" s="217">
        <f t="shared" si="57"/>
        <v>7596002.5958003355</v>
      </c>
      <c r="R88" s="217">
        <f t="shared" si="57"/>
        <v>7275262.216410059</v>
      </c>
      <c r="S88" s="217">
        <f t="shared" si="57"/>
        <v>8300456.362843039</v>
      </c>
      <c r="T88" s="217">
        <f t="shared" si="57"/>
        <v>10182906.818224112</v>
      </c>
      <c r="U88" s="217">
        <f>SUM(U78,U84,U87)</f>
        <v>13925781.503907915</v>
      </c>
      <c r="V88" s="217">
        <f t="shared" si="57"/>
        <v>13491363.511337977</v>
      </c>
      <c r="W88" s="341"/>
    </row>
    <row r="89" spans="2:23" ht="12.75">
      <c r="B89" s="169"/>
      <c r="C89" s="128" t="s">
        <v>24</v>
      </c>
      <c r="D89" s="217">
        <f>D72+D88</f>
        <v>859326892.4120444</v>
      </c>
      <c r="E89" s="217">
        <f>E72+E88</f>
        <v>871188706.4519658</v>
      </c>
      <c r="F89" s="217">
        <f>F72+F88</f>
        <v>885115476.5441017</v>
      </c>
      <c r="G89" s="217">
        <f>G72+G88</f>
        <v>909533882.3762963</v>
      </c>
      <c r="H89" s="217">
        <f aca="true" t="shared" si="58" ref="H89:M89">H72+H88</f>
        <v>920779465.4318275</v>
      </c>
      <c r="I89" s="217">
        <f t="shared" si="58"/>
        <v>1062302529.1943483</v>
      </c>
      <c r="J89" s="217">
        <f t="shared" si="58"/>
        <v>1096050184.4360242</v>
      </c>
      <c r="K89" s="217">
        <f t="shared" si="58"/>
        <v>1128705698.6785257</v>
      </c>
      <c r="L89" s="217">
        <f t="shared" si="58"/>
        <v>1201895187.7097301</v>
      </c>
      <c r="M89" s="217">
        <f t="shared" si="58"/>
        <v>1213203105.3498325</v>
      </c>
      <c r="N89" s="217">
        <f aca="true" t="shared" si="59" ref="N89:V89">N72+N88</f>
        <v>1261047254.639714</v>
      </c>
      <c r="O89" s="217">
        <f t="shared" si="59"/>
        <v>1303481077.0321615</v>
      </c>
      <c r="P89" s="217">
        <f t="shared" si="59"/>
        <v>1324807148.1338773</v>
      </c>
      <c r="Q89" s="217">
        <f t="shared" si="59"/>
        <v>1337345531.9685795</v>
      </c>
      <c r="R89" s="217">
        <f t="shared" si="59"/>
        <v>1425373772.5259042</v>
      </c>
      <c r="S89" s="217">
        <f t="shared" si="59"/>
        <v>1462685643.764852</v>
      </c>
      <c r="T89" s="217">
        <f t="shared" si="59"/>
        <v>1473129668.796103</v>
      </c>
      <c r="U89" s="217">
        <f>U72+U88</f>
        <v>1490185800.128002</v>
      </c>
      <c r="V89" s="217">
        <f t="shared" si="59"/>
        <v>1564846948.364194</v>
      </c>
      <c r="W89" s="341"/>
    </row>
    <row r="90" spans="3:23" ht="12.75">
      <c r="C90" s="128" t="s">
        <v>258</v>
      </c>
      <c r="D90" s="278">
        <v>0.026889534883721034</v>
      </c>
      <c r="E90" s="278">
        <v>0.024769992922859085</v>
      </c>
      <c r="F90" s="278">
        <v>0.024861878453038555</v>
      </c>
      <c r="G90" s="278">
        <v>0.03975741239892194</v>
      </c>
      <c r="H90" s="278">
        <v>0.020738820479585085</v>
      </c>
      <c r="I90" s="278">
        <v>0.04507936507936505</v>
      </c>
      <c r="J90" s="278">
        <v>0.014580801944106936</v>
      </c>
      <c r="K90" s="278">
        <v>0.030538922155688653</v>
      </c>
      <c r="L90" s="278">
        <v>0.036025566531086683</v>
      </c>
      <c r="M90" s="278">
        <v>0.011777902411665764</v>
      </c>
      <c r="N90" s="278">
        <v>0.0239043824701195</v>
      </c>
      <c r="O90" s="278">
        <v>0.03015564202334642</v>
      </c>
      <c r="P90" s="278">
        <v>0.015108593012275628</v>
      </c>
      <c r="Q90" s="278">
        <v>0.01023255813953483</v>
      </c>
      <c r="R90" s="327">
        <v>0.01933701657458564</v>
      </c>
      <c r="S90" s="327">
        <v>0.020776874435411097</v>
      </c>
      <c r="T90" s="327">
        <v>0.015929203539823078</v>
      </c>
      <c r="U90" s="327">
        <v>-0.0034843205574912606</v>
      </c>
      <c r="V90" s="327">
        <v>0.038461538461538325</v>
      </c>
      <c r="W90" s="341"/>
    </row>
    <row r="91" ht="12.75"/>
    <row r="92" spans="5:23" ht="12.75">
      <c r="E92" s="343"/>
      <c r="F92" s="343"/>
      <c r="G92" s="343"/>
      <c r="H92" s="343"/>
      <c r="I92" s="343"/>
      <c r="J92" s="343"/>
      <c r="K92" s="343"/>
      <c r="L92" s="343"/>
      <c r="M92" s="343"/>
      <c r="N92" s="343"/>
      <c r="O92" s="343"/>
      <c r="P92" s="343"/>
      <c r="Q92" s="343"/>
      <c r="R92" s="343"/>
      <c r="S92" s="343"/>
      <c r="T92" s="343"/>
      <c r="U92" s="343"/>
      <c r="V92" s="343"/>
      <c r="W92" s="343"/>
    </row>
    <row r="93" spans="4:23" ht="12.75">
      <c r="D93" s="192"/>
      <c r="E93" s="344"/>
      <c r="F93" s="344"/>
      <c r="G93" s="344"/>
      <c r="H93" s="344"/>
      <c r="I93" s="344"/>
      <c r="J93" s="344"/>
      <c r="K93" s="344"/>
      <c r="L93" s="344"/>
      <c r="M93" s="344"/>
      <c r="N93" s="344"/>
      <c r="O93" s="344"/>
      <c r="P93" s="344"/>
      <c r="Q93" s="344"/>
      <c r="R93" s="344"/>
      <c r="S93" s="344"/>
      <c r="T93" s="344"/>
      <c r="U93" s="344"/>
      <c r="V93" s="344"/>
      <c r="W93" s="343"/>
    </row>
    <row r="94" spans="5:23" ht="12.75">
      <c r="E94" s="343"/>
      <c r="F94" s="343"/>
      <c r="G94" s="343"/>
      <c r="H94" s="343"/>
      <c r="I94" s="343"/>
      <c r="J94" s="343"/>
      <c r="K94" s="343"/>
      <c r="L94" s="343"/>
      <c r="M94" s="343"/>
      <c r="N94" s="343"/>
      <c r="O94" s="343"/>
      <c r="P94" s="343"/>
      <c r="Q94" s="343"/>
      <c r="R94" s="343"/>
      <c r="S94" s="343"/>
      <c r="T94" s="343"/>
      <c r="U94" s="343"/>
      <c r="V94" s="343"/>
      <c r="W94" s="343"/>
    </row>
  </sheetData>
  <sheetProtection/>
  <mergeCells count="3">
    <mergeCell ref="B1:C1"/>
    <mergeCell ref="B7:C7"/>
    <mergeCell ref="D8:V8"/>
  </mergeCells>
  <printOptions/>
  <pageMargins left="0.7480314960629921" right="0.7480314960629921" top="0.984251968503937" bottom="0.984251968503937" header="0.5118110236220472" footer="0.5118110236220472"/>
  <pageSetup fitToHeight="1" fitToWidth="1" horizontalDpi="600" verticalDpi="600" orientation="portrait" paperSize="9" scale="18" r:id="rId4"/>
  <drawing r:id="rId3"/>
  <legacyDrawing r:id="rId2"/>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37"/>
  <sheetViews>
    <sheetView zoomScale="80" zoomScaleNormal="80" zoomScalePageLayoutView="0" workbookViewId="0" topLeftCell="A1">
      <selection activeCell="A1" sqref="A1"/>
    </sheetView>
  </sheetViews>
  <sheetFormatPr defaultColWidth="9.140625" defaultRowHeight="12.75"/>
  <cols>
    <col min="1" max="1" width="12.140625" style="82" customWidth="1"/>
    <col min="2" max="2" width="21.00390625" style="82" customWidth="1"/>
    <col min="3" max="5" width="42.28125" style="82" customWidth="1"/>
    <col min="6" max="6" width="35.7109375" style="82" customWidth="1"/>
    <col min="7" max="7" width="9.421875" style="82" customWidth="1"/>
    <col min="8" max="8" width="25.140625" style="82" customWidth="1"/>
    <col min="9" max="16384" width="9.140625" style="82" customWidth="1"/>
  </cols>
  <sheetData>
    <row r="1" spans="2:5" ht="21">
      <c r="B1" s="83" t="s">
        <v>138</v>
      </c>
      <c r="C1" s="83"/>
      <c r="D1" s="39"/>
      <c r="E1" s="39"/>
    </row>
    <row r="2" spans="2:5" ht="21">
      <c r="B2" s="151" t="str">
        <f>Tradingname</f>
        <v>EAST AUSTRALIAN PIPELINE PTY LIMITED</v>
      </c>
      <c r="C2" s="152"/>
      <c r="D2" s="83"/>
      <c r="E2" s="83"/>
    </row>
    <row r="3" spans="2:6" ht="34.5">
      <c r="B3" s="153" t="s">
        <v>180</v>
      </c>
      <c r="C3" s="154">
        <f>Yearending</f>
        <v>44377</v>
      </c>
      <c r="F3" s="114"/>
    </row>
    <row r="5" spans="2:5" ht="15">
      <c r="B5" s="86" t="s">
        <v>210</v>
      </c>
      <c r="C5" s="84"/>
      <c r="D5" s="84"/>
      <c r="E5" s="84"/>
    </row>
    <row r="6" spans="2:5" ht="15">
      <c r="B6" s="86"/>
      <c r="C6" s="84"/>
      <c r="D6" s="84"/>
      <c r="E6" s="84"/>
    </row>
    <row r="7" spans="2:6" ht="40.5" customHeight="1">
      <c r="B7" s="87" t="s">
        <v>219</v>
      </c>
      <c r="C7" s="87" t="s">
        <v>122</v>
      </c>
      <c r="D7" s="87" t="s">
        <v>529</v>
      </c>
      <c r="E7" s="87" t="s">
        <v>123</v>
      </c>
      <c r="F7" s="88" t="s">
        <v>125</v>
      </c>
    </row>
    <row r="8" spans="2:6" ht="12.75">
      <c r="B8" s="89"/>
      <c r="C8" s="89"/>
      <c r="D8" s="105"/>
      <c r="E8" s="121" t="s">
        <v>124</v>
      </c>
      <c r="F8" s="90"/>
    </row>
    <row r="9" spans="2:6" ht="12.75">
      <c r="B9" s="337" t="s">
        <v>538</v>
      </c>
      <c r="C9" s="174" t="str">
        <f>'3. Statement of pipeline assets'!C11</f>
        <v>Pipelines</v>
      </c>
      <c r="D9" s="279" t="s">
        <v>562</v>
      </c>
      <c r="E9" s="280">
        <v>80</v>
      </c>
      <c r="F9" s="281" t="s">
        <v>429</v>
      </c>
    </row>
    <row r="10" spans="2:6" ht="12.75">
      <c r="B10" s="337" t="s">
        <v>538</v>
      </c>
      <c r="C10" s="174" t="str">
        <f>'3. Statement of pipeline assets'!C18</f>
        <v>Compressors</v>
      </c>
      <c r="D10" s="279" t="s">
        <v>562</v>
      </c>
      <c r="E10" s="280">
        <v>35</v>
      </c>
      <c r="F10" s="281" t="s">
        <v>429</v>
      </c>
    </row>
    <row r="11" spans="2:6" ht="12.75">
      <c r="B11" s="337" t="s">
        <v>538</v>
      </c>
      <c r="C11" s="174" t="str">
        <f>'3. Statement of pipeline assets'!C24</f>
        <v>City Gates, supply regulators and valve stations</v>
      </c>
      <c r="D11" s="279" t="s">
        <v>563</v>
      </c>
      <c r="E11" s="280">
        <v>50</v>
      </c>
      <c r="F11" s="281" t="s">
        <v>429</v>
      </c>
    </row>
    <row r="12" spans="2:6" ht="12.75">
      <c r="B12" s="337" t="s">
        <v>538</v>
      </c>
      <c r="C12" s="174" t="str">
        <f>'3. Statement of pipeline assets'!C30</f>
        <v>Metering</v>
      </c>
      <c r="D12" s="279" t="s">
        <v>562</v>
      </c>
      <c r="E12" s="280">
        <v>50</v>
      </c>
      <c r="F12" s="281" t="s">
        <v>429</v>
      </c>
    </row>
    <row r="13" spans="2:6" ht="12.75">
      <c r="B13" s="337" t="s">
        <v>538</v>
      </c>
      <c r="C13" s="174" t="str">
        <f>'3. Statement of pipeline assets'!C36</f>
        <v>Odourant plants</v>
      </c>
      <c r="D13" s="279" t="s">
        <v>564</v>
      </c>
      <c r="E13" s="280">
        <v>80</v>
      </c>
      <c r="F13" s="281" t="s">
        <v>429</v>
      </c>
    </row>
    <row r="14" spans="2:6" ht="12.75">
      <c r="B14" s="337" t="s">
        <v>538</v>
      </c>
      <c r="C14" s="174" t="str">
        <f>'3. Statement of pipeline assets'!C42</f>
        <v>SCADA (Communications)</v>
      </c>
      <c r="D14" s="279" t="s">
        <v>562</v>
      </c>
      <c r="E14" s="280">
        <v>15</v>
      </c>
      <c r="F14" s="281" t="s">
        <v>429</v>
      </c>
    </row>
    <row r="15" spans="2:6" ht="12.75">
      <c r="B15" s="337" t="s">
        <v>538</v>
      </c>
      <c r="C15" s="174" t="str">
        <f>'3. Statement of pipeline assets'!C48</f>
        <v>Buildings</v>
      </c>
      <c r="D15" s="279" t="s">
        <v>564</v>
      </c>
      <c r="E15" s="280">
        <v>80</v>
      </c>
      <c r="F15" s="281" t="s">
        <v>429</v>
      </c>
    </row>
    <row r="16" spans="2:6" ht="26.25">
      <c r="B16" s="337" t="s">
        <v>538</v>
      </c>
      <c r="C16" s="296" t="str">
        <f>'3. Statement of pipeline assets'!C60</f>
        <v>Other depreciable pipeline assets</v>
      </c>
      <c r="D16" s="298" t="s">
        <v>565</v>
      </c>
      <c r="E16" s="328" t="s">
        <v>567</v>
      </c>
      <c r="F16" s="297" t="s">
        <v>444</v>
      </c>
    </row>
    <row r="17" spans="2:6" ht="12.75">
      <c r="B17" s="282"/>
      <c r="C17" s="91" t="s">
        <v>147</v>
      </c>
      <c r="D17" s="279" t="s">
        <v>562</v>
      </c>
      <c r="E17" s="280" t="s">
        <v>568</v>
      </c>
      <c r="F17" s="281" t="s">
        <v>430</v>
      </c>
    </row>
    <row r="18" spans="2:6" ht="12.75">
      <c r="B18" s="282"/>
      <c r="C18" s="91" t="s">
        <v>209</v>
      </c>
      <c r="D18" s="282"/>
      <c r="E18" s="283"/>
      <c r="F18" s="281"/>
    </row>
    <row r="19" spans="2:6" ht="12.75">
      <c r="B19" s="282"/>
      <c r="C19" s="91" t="s">
        <v>209</v>
      </c>
      <c r="D19" s="282"/>
      <c r="E19" s="283"/>
      <c r="F19" s="281"/>
    </row>
    <row r="20" spans="2:6" ht="12.75">
      <c r="B20" s="282"/>
      <c r="C20" s="91" t="s">
        <v>209</v>
      </c>
      <c r="D20" s="282"/>
      <c r="E20" s="283"/>
      <c r="F20" s="281"/>
    </row>
    <row r="21" spans="2:7" ht="12" customHeight="1">
      <c r="B21" s="337" t="s">
        <v>538</v>
      </c>
      <c r="C21" s="174" t="str">
        <f>'3. Statement of pipeline assets'!C66</f>
        <v>Leased pipeline assets</v>
      </c>
      <c r="D21" s="279" t="s">
        <v>566</v>
      </c>
      <c r="E21" s="314" t="s">
        <v>567</v>
      </c>
      <c r="F21" s="281" t="s">
        <v>505</v>
      </c>
      <c r="G21" s="167"/>
    </row>
    <row r="22" spans="2:7" ht="12.75">
      <c r="B22" s="282"/>
      <c r="C22" s="91" t="s">
        <v>209</v>
      </c>
      <c r="D22" s="282"/>
      <c r="E22" s="283"/>
      <c r="F22" s="281"/>
      <c r="G22" s="167"/>
    </row>
    <row r="23" spans="2:7" ht="12.75">
      <c r="B23" s="282"/>
      <c r="C23" s="91" t="s">
        <v>209</v>
      </c>
      <c r="D23" s="282"/>
      <c r="E23" s="283"/>
      <c r="F23" s="281"/>
      <c r="G23" s="167"/>
    </row>
    <row r="24" spans="2:7" ht="12.75">
      <c r="B24" s="282"/>
      <c r="C24" s="91" t="s">
        <v>209</v>
      </c>
      <c r="D24" s="282"/>
      <c r="E24" s="283"/>
      <c r="F24" s="281"/>
      <c r="G24" s="167"/>
    </row>
    <row r="25" spans="2:7" ht="12.75">
      <c r="B25" s="282"/>
      <c r="C25" s="91" t="s">
        <v>209</v>
      </c>
      <c r="D25" s="282"/>
      <c r="E25" s="283"/>
      <c r="F25" s="281"/>
      <c r="G25" s="167"/>
    </row>
    <row r="26" spans="2:6" ht="12.75">
      <c r="B26" s="337" t="s">
        <v>538</v>
      </c>
      <c r="C26" s="174" t="str">
        <f>'3. Statement of pipeline assets'!C73</f>
        <v>Shared supporting assets</v>
      </c>
      <c r="D26" s="279" t="s">
        <v>562</v>
      </c>
      <c r="E26" s="280">
        <v>5</v>
      </c>
      <c r="F26" s="281" t="s">
        <v>429</v>
      </c>
    </row>
    <row r="27" spans="2:6" ht="12.75">
      <c r="B27" s="282"/>
      <c r="C27" s="91" t="s">
        <v>209</v>
      </c>
      <c r="D27" s="282"/>
      <c r="E27" s="283"/>
      <c r="F27" s="281"/>
    </row>
    <row r="28" spans="2:6" ht="12.75">
      <c r="B28" s="282"/>
      <c r="C28" s="91" t="s">
        <v>209</v>
      </c>
      <c r="D28" s="282"/>
      <c r="E28" s="283"/>
      <c r="F28" s="281"/>
    </row>
    <row r="29" spans="2:6" ht="12.75">
      <c r="B29" s="282"/>
      <c r="C29" s="91" t="s">
        <v>209</v>
      </c>
      <c r="D29" s="282"/>
      <c r="E29" s="283"/>
      <c r="F29" s="281"/>
    </row>
    <row r="30" spans="2:6" ht="12.75">
      <c r="B30" s="282"/>
      <c r="C30" s="91" t="s">
        <v>209</v>
      </c>
      <c r="D30" s="282"/>
      <c r="E30" s="283"/>
      <c r="F30" s="281"/>
    </row>
    <row r="31" spans="2:6" ht="12.75">
      <c r="B31" s="282"/>
      <c r="C31" s="91" t="s">
        <v>209</v>
      </c>
      <c r="D31" s="282"/>
      <c r="E31" s="283"/>
      <c r="F31" s="281"/>
    </row>
    <row r="32" spans="2:7" ht="12.75">
      <c r="B32" s="337" t="s">
        <v>538</v>
      </c>
      <c r="C32" s="174" t="str">
        <f>'3. Statement of pipeline assets'!C79</f>
        <v>Shared leased assets</v>
      </c>
      <c r="D32" s="279" t="s">
        <v>562</v>
      </c>
      <c r="E32" s="280">
        <v>5</v>
      </c>
      <c r="F32" s="281" t="s">
        <v>504</v>
      </c>
      <c r="G32" s="167"/>
    </row>
    <row r="33" spans="2:7" ht="12.75">
      <c r="B33" s="91"/>
      <c r="C33" s="91" t="s">
        <v>209</v>
      </c>
      <c r="D33" s="91"/>
      <c r="E33" s="260"/>
      <c r="F33" s="92"/>
      <c r="G33" s="167"/>
    </row>
    <row r="34" spans="2:7" ht="12.75">
      <c r="B34" s="91"/>
      <c r="C34" s="91" t="s">
        <v>209</v>
      </c>
      <c r="D34" s="91"/>
      <c r="E34" s="260"/>
      <c r="F34" s="92"/>
      <c r="G34" s="167"/>
    </row>
    <row r="35" spans="2:7" ht="12.75">
      <c r="B35" s="91"/>
      <c r="C35" s="91" t="s">
        <v>209</v>
      </c>
      <c r="D35" s="91"/>
      <c r="E35" s="260"/>
      <c r="F35" s="92"/>
      <c r="G35" s="167"/>
    </row>
    <row r="36" spans="2:7" ht="12.75">
      <c r="B36" s="91"/>
      <c r="C36" s="91" t="s">
        <v>209</v>
      </c>
      <c r="D36" s="91"/>
      <c r="E36" s="260"/>
      <c r="F36" s="92"/>
      <c r="G36" s="167"/>
    </row>
    <row r="37" spans="2:7" ht="12.75">
      <c r="B37" s="91"/>
      <c r="C37" s="91" t="s">
        <v>209</v>
      </c>
      <c r="D37" s="91"/>
      <c r="E37" s="260"/>
      <c r="F37" s="92"/>
      <c r="G37" s="167"/>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42" r:id="rId2"/>
  <drawing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B1:H44"/>
  <sheetViews>
    <sheetView zoomScale="80" zoomScaleNormal="80" zoomScalePageLayoutView="0" workbookViewId="0" topLeftCell="A1">
      <selection activeCell="A1" sqref="A1"/>
    </sheetView>
  </sheetViews>
  <sheetFormatPr defaultColWidth="9.140625" defaultRowHeight="12.75"/>
  <cols>
    <col min="1" max="1" width="12.140625" style="82" customWidth="1"/>
    <col min="2" max="2" width="21.00390625" style="82" customWidth="1"/>
    <col min="3" max="3" width="42.28125" style="82" customWidth="1"/>
    <col min="4" max="4" width="43.7109375" style="82" bestFit="1" customWidth="1"/>
    <col min="5" max="5" width="22.57421875" style="82" customWidth="1"/>
    <col min="6" max="6" width="20.57421875" style="82" customWidth="1"/>
    <col min="7" max="7" width="22.57421875" style="82" customWidth="1"/>
    <col min="8" max="8" width="9.421875" style="82" customWidth="1"/>
    <col min="9" max="9" width="25.140625" style="82" customWidth="1"/>
    <col min="10" max="16384" width="9.140625" style="82" customWidth="1"/>
  </cols>
  <sheetData>
    <row r="1" spans="2:7" ht="21">
      <c r="B1" s="83" t="s">
        <v>118</v>
      </c>
      <c r="C1" s="83"/>
      <c r="D1" s="39"/>
      <c r="E1" s="39"/>
      <c r="F1" s="39"/>
      <c r="G1" s="39"/>
    </row>
    <row r="2" spans="2:7" ht="21">
      <c r="B2" s="151" t="str">
        <f>Tradingname</f>
        <v>EAST AUSTRALIAN PIPELINE PTY LIMITED</v>
      </c>
      <c r="C2" s="152"/>
      <c r="D2" s="83"/>
      <c r="E2" s="83"/>
      <c r="G2" s="83"/>
    </row>
    <row r="3" spans="2:3" ht="17.25" customHeight="1">
      <c r="B3" s="153" t="s">
        <v>180</v>
      </c>
      <c r="C3" s="154">
        <f>Yearending</f>
        <v>44377</v>
      </c>
    </row>
    <row r="5" spans="2:7" ht="15">
      <c r="B5" s="86" t="s">
        <v>261</v>
      </c>
      <c r="C5" s="84"/>
      <c r="D5" s="84"/>
      <c r="E5" s="84"/>
      <c r="F5" s="85"/>
      <c r="G5" s="84"/>
    </row>
    <row r="6" spans="2:7" ht="15">
      <c r="B6" s="86"/>
      <c r="C6" s="84"/>
      <c r="D6" s="84"/>
      <c r="E6" s="84"/>
      <c r="F6" s="85"/>
      <c r="G6" s="84"/>
    </row>
    <row r="7" spans="2:7" ht="40.5" customHeight="1">
      <c r="B7" s="87" t="s">
        <v>219</v>
      </c>
      <c r="C7" s="87" t="s">
        <v>168</v>
      </c>
      <c r="D7" s="87" t="s">
        <v>169</v>
      </c>
      <c r="E7" s="88" t="s">
        <v>170</v>
      </c>
      <c r="F7" s="88" t="s">
        <v>73</v>
      </c>
      <c r="G7" s="88" t="s">
        <v>133</v>
      </c>
    </row>
    <row r="8" spans="2:7" ht="12.75">
      <c r="B8" s="89"/>
      <c r="C8" s="89"/>
      <c r="D8" s="105"/>
      <c r="E8" s="61" t="s">
        <v>182</v>
      </c>
      <c r="F8" s="61"/>
      <c r="G8" s="61" t="s">
        <v>182</v>
      </c>
    </row>
    <row r="9" spans="2:7" ht="12.75">
      <c r="B9" s="334" t="s">
        <v>539</v>
      </c>
      <c r="C9" s="276" t="s">
        <v>426</v>
      </c>
      <c r="D9" s="276" t="s">
        <v>427</v>
      </c>
      <c r="E9" s="258">
        <v>268608565.65327334</v>
      </c>
      <c r="F9" s="160">
        <f>(SUM('3. Statement of pipeline assets'!H75:V75))/E9</f>
        <v>0.11415995610732568</v>
      </c>
      <c r="G9" s="251">
        <f aca="true" t="shared" si="0" ref="G9:G40">E9*F9</f>
        <v>30664342.065029394</v>
      </c>
    </row>
    <row r="10" spans="2:7" ht="12.75">
      <c r="B10" s="334" t="s">
        <v>540</v>
      </c>
      <c r="C10" s="276" t="s">
        <v>295</v>
      </c>
      <c r="D10" s="276" t="s">
        <v>295</v>
      </c>
      <c r="E10" s="284">
        <v>36582874.96861991</v>
      </c>
      <c r="F10" s="285">
        <f>SUM('3. Statement of pipeline assets'!U81:V81)/E10</f>
        <v>0.10953684968740386</v>
      </c>
      <c r="G10" s="251">
        <f t="shared" si="0"/>
        <v>4007172.8765708087</v>
      </c>
    </row>
    <row r="11" spans="2:7" ht="12.75">
      <c r="B11" s="163"/>
      <c r="C11" s="163"/>
      <c r="D11" s="163"/>
      <c r="E11" s="258"/>
      <c r="F11" s="160"/>
      <c r="G11" s="251">
        <f t="shared" si="0"/>
        <v>0</v>
      </c>
    </row>
    <row r="12" spans="2:7" ht="12.75">
      <c r="B12" s="163"/>
      <c r="C12" s="163"/>
      <c r="D12" s="163"/>
      <c r="E12" s="258"/>
      <c r="F12" s="160"/>
      <c r="G12" s="251">
        <f t="shared" si="0"/>
        <v>0</v>
      </c>
    </row>
    <row r="13" spans="2:7" ht="12.75">
      <c r="B13" s="163"/>
      <c r="C13" s="163"/>
      <c r="D13" s="163"/>
      <c r="E13" s="258"/>
      <c r="F13" s="160"/>
      <c r="G13" s="251">
        <f t="shared" si="0"/>
        <v>0</v>
      </c>
    </row>
    <row r="14" spans="2:7" ht="12.75">
      <c r="B14" s="163"/>
      <c r="C14" s="163"/>
      <c r="D14" s="163"/>
      <c r="E14" s="258"/>
      <c r="F14" s="160"/>
      <c r="G14" s="251">
        <f t="shared" si="0"/>
        <v>0</v>
      </c>
    </row>
    <row r="15" spans="2:7" ht="12.75">
      <c r="B15" s="163"/>
      <c r="C15" s="163"/>
      <c r="D15" s="163"/>
      <c r="E15" s="258"/>
      <c r="F15" s="160"/>
      <c r="G15" s="251">
        <f>E15*F15</f>
        <v>0</v>
      </c>
    </row>
    <row r="16" spans="2:7" ht="12.75">
      <c r="B16" s="163"/>
      <c r="C16" s="163"/>
      <c r="D16" s="163"/>
      <c r="E16" s="258"/>
      <c r="F16" s="160"/>
      <c r="G16" s="251">
        <f t="shared" si="0"/>
        <v>0</v>
      </c>
    </row>
    <row r="17" spans="2:7" ht="12.75">
      <c r="B17" s="163"/>
      <c r="C17" s="163"/>
      <c r="D17" s="163"/>
      <c r="E17" s="258"/>
      <c r="F17" s="160"/>
      <c r="G17" s="251">
        <f t="shared" si="0"/>
        <v>0</v>
      </c>
    </row>
    <row r="18" spans="2:7" ht="12.75">
      <c r="B18" s="163"/>
      <c r="C18" s="163"/>
      <c r="D18" s="163"/>
      <c r="E18" s="258"/>
      <c r="F18" s="160"/>
      <c r="G18" s="251">
        <f t="shared" si="0"/>
        <v>0</v>
      </c>
    </row>
    <row r="19" spans="2:7" ht="12.75">
      <c r="B19" s="163"/>
      <c r="C19" s="163"/>
      <c r="D19" s="163"/>
      <c r="E19" s="258"/>
      <c r="F19" s="160"/>
      <c r="G19" s="251">
        <f t="shared" si="0"/>
        <v>0</v>
      </c>
    </row>
    <row r="20" spans="2:7" ht="12.75">
      <c r="B20" s="163"/>
      <c r="C20" s="163"/>
      <c r="D20" s="163"/>
      <c r="E20" s="258"/>
      <c r="F20" s="160"/>
      <c r="G20" s="251">
        <f t="shared" si="0"/>
        <v>0</v>
      </c>
    </row>
    <row r="21" spans="2:7" ht="12.75">
      <c r="B21" s="163"/>
      <c r="C21" s="163"/>
      <c r="D21" s="163"/>
      <c r="E21" s="258"/>
      <c r="F21" s="160"/>
      <c r="G21" s="251">
        <f t="shared" si="0"/>
        <v>0</v>
      </c>
    </row>
    <row r="22" spans="2:7" ht="12.75">
      <c r="B22" s="163"/>
      <c r="C22" s="163"/>
      <c r="D22" s="163"/>
      <c r="E22" s="258"/>
      <c r="F22" s="160"/>
      <c r="G22" s="251">
        <f t="shared" si="0"/>
        <v>0</v>
      </c>
    </row>
    <row r="23" spans="2:7" ht="12.75">
      <c r="B23" s="163"/>
      <c r="C23" s="163"/>
      <c r="D23" s="163"/>
      <c r="E23" s="258"/>
      <c r="F23" s="160"/>
      <c r="G23" s="251">
        <f t="shared" si="0"/>
        <v>0</v>
      </c>
    </row>
    <row r="24" spans="2:7" ht="12.75">
      <c r="B24" s="163"/>
      <c r="C24" s="163"/>
      <c r="D24" s="163"/>
      <c r="E24" s="258"/>
      <c r="F24" s="160"/>
      <c r="G24" s="251">
        <f>E24*F24</f>
        <v>0</v>
      </c>
    </row>
    <row r="25" spans="2:7" ht="12.75">
      <c r="B25" s="163"/>
      <c r="C25" s="163"/>
      <c r="D25" s="163"/>
      <c r="E25" s="258"/>
      <c r="F25" s="160"/>
      <c r="G25" s="251">
        <f t="shared" si="0"/>
        <v>0</v>
      </c>
    </row>
    <row r="26" spans="2:7" ht="12.75">
      <c r="B26" s="163"/>
      <c r="C26" s="163"/>
      <c r="D26" s="163"/>
      <c r="E26" s="258"/>
      <c r="F26" s="160"/>
      <c r="G26" s="251">
        <f t="shared" si="0"/>
        <v>0</v>
      </c>
    </row>
    <row r="27" spans="2:7" ht="12.75">
      <c r="B27" s="163"/>
      <c r="C27" s="163"/>
      <c r="D27" s="163"/>
      <c r="E27" s="258"/>
      <c r="F27" s="160"/>
      <c r="G27" s="251">
        <f t="shared" si="0"/>
        <v>0</v>
      </c>
    </row>
    <row r="28" spans="2:7" ht="12.75">
      <c r="B28" s="163"/>
      <c r="C28" s="163"/>
      <c r="D28" s="163"/>
      <c r="E28" s="258"/>
      <c r="F28" s="160"/>
      <c r="G28" s="251">
        <f t="shared" si="0"/>
        <v>0</v>
      </c>
    </row>
    <row r="29" spans="2:7" ht="12.75">
      <c r="B29" s="163"/>
      <c r="C29" s="163"/>
      <c r="D29" s="163"/>
      <c r="E29" s="258"/>
      <c r="F29" s="160"/>
      <c r="G29" s="251">
        <f t="shared" si="0"/>
        <v>0</v>
      </c>
    </row>
    <row r="30" spans="2:8" ht="12.75">
      <c r="B30" s="163"/>
      <c r="C30" s="163"/>
      <c r="D30" s="163"/>
      <c r="E30" s="258"/>
      <c r="F30" s="160"/>
      <c r="G30" s="251">
        <f t="shared" si="0"/>
        <v>0</v>
      </c>
      <c r="H30" s="210"/>
    </row>
    <row r="31" spans="2:8" ht="12.75">
      <c r="B31" s="163"/>
      <c r="C31" s="163"/>
      <c r="D31" s="163"/>
      <c r="E31" s="258"/>
      <c r="F31" s="160"/>
      <c r="G31" s="251">
        <f t="shared" si="0"/>
        <v>0</v>
      </c>
      <c r="H31" s="210"/>
    </row>
    <row r="32" spans="2:8" ht="12.75">
      <c r="B32" s="163"/>
      <c r="C32" s="163"/>
      <c r="D32" s="163"/>
      <c r="E32" s="258"/>
      <c r="F32" s="160"/>
      <c r="G32" s="251">
        <f t="shared" si="0"/>
        <v>0</v>
      </c>
      <c r="H32" s="210"/>
    </row>
    <row r="33" spans="2:8" ht="12.75">
      <c r="B33" s="163"/>
      <c r="C33" s="163"/>
      <c r="D33" s="163"/>
      <c r="E33" s="258"/>
      <c r="F33" s="160"/>
      <c r="G33" s="251">
        <f t="shared" si="0"/>
        <v>0</v>
      </c>
      <c r="H33" s="210"/>
    </row>
    <row r="34" spans="2:8" ht="12.75">
      <c r="B34" s="163"/>
      <c r="C34" s="163"/>
      <c r="D34" s="163"/>
      <c r="E34" s="258"/>
      <c r="F34" s="160"/>
      <c r="G34" s="251">
        <f t="shared" si="0"/>
        <v>0</v>
      </c>
      <c r="H34" s="210"/>
    </row>
    <row r="35" spans="2:8" ht="12.75">
      <c r="B35" s="163"/>
      <c r="C35" s="163"/>
      <c r="D35" s="163"/>
      <c r="E35" s="258"/>
      <c r="F35" s="160"/>
      <c r="G35" s="251">
        <f t="shared" si="0"/>
        <v>0</v>
      </c>
      <c r="H35" s="210"/>
    </row>
    <row r="36" spans="2:7" ht="12.75">
      <c r="B36" s="163"/>
      <c r="C36" s="163"/>
      <c r="D36" s="163"/>
      <c r="E36" s="258"/>
      <c r="F36" s="160"/>
      <c r="G36" s="251">
        <f t="shared" si="0"/>
        <v>0</v>
      </c>
    </row>
    <row r="37" spans="2:7" ht="12.75">
      <c r="B37" s="163"/>
      <c r="C37" s="163"/>
      <c r="D37" s="163"/>
      <c r="E37" s="258"/>
      <c r="F37" s="160"/>
      <c r="G37" s="251">
        <f t="shared" si="0"/>
        <v>0</v>
      </c>
    </row>
    <row r="38" spans="2:7" ht="12.75">
      <c r="B38" s="163"/>
      <c r="C38" s="163"/>
      <c r="D38" s="163"/>
      <c r="E38" s="258"/>
      <c r="F38" s="160"/>
      <c r="G38" s="251">
        <f t="shared" si="0"/>
        <v>0</v>
      </c>
    </row>
    <row r="39" spans="2:7" ht="12.75">
      <c r="B39" s="163"/>
      <c r="C39" s="163"/>
      <c r="D39" s="163"/>
      <c r="E39" s="258"/>
      <c r="F39" s="160"/>
      <c r="G39" s="251">
        <f t="shared" si="0"/>
        <v>0</v>
      </c>
    </row>
    <row r="40" spans="2:7" ht="12.75">
      <c r="B40" s="163"/>
      <c r="C40" s="163"/>
      <c r="D40" s="163"/>
      <c r="E40" s="258"/>
      <c r="F40" s="160"/>
      <c r="G40" s="251">
        <f t="shared" si="0"/>
        <v>0</v>
      </c>
    </row>
    <row r="41" spans="2:7" ht="12.75">
      <c r="B41" s="401" t="s">
        <v>25</v>
      </c>
      <c r="C41" s="402"/>
      <c r="D41" s="403"/>
      <c r="E41" s="251">
        <f>SUM(E9:E40)</f>
        <v>305191440.6218933</v>
      </c>
      <c r="F41" s="198"/>
      <c r="G41" s="251">
        <f>SUM(G9:G40)</f>
        <v>34671514.9416002</v>
      </c>
    </row>
    <row r="44" ht="12.75">
      <c r="B44" s="167"/>
    </row>
  </sheetData>
  <sheetProtection/>
  <mergeCells count="1">
    <mergeCell ref="B41:D41"/>
  </mergeCells>
  <printOptions/>
  <pageMargins left="0.7480314960629921" right="0.7480314960629921" top="0.984251968503937" bottom="0.984251968503937" header="0.5118110236220472" footer="0.5118110236220472"/>
  <pageSetup fitToHeight="1" fitToWidth="1" horizontalDpi="600" verticalDpi="600" orientation="portrait" paperSize="9" scale="45"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A1"/>
  <sheetViews>
    <sheetView zoomScale="130" zoomScaleNormal="130" zoomScalePageLayoutView="0" workbookViewId="0" topLeftCell="A1">
      <selection activeCell="P1" sqref="P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B1:BI37"/>
  <sheetViews>
    <sheetView zoomScale="80" zoomScaleNormal="80" zoomScalePageLayoutView="0" workbookViewId="0" topLeftCell="A1">
      <selection activeCell="A1" sqref="A1"/>
    </sheetView>
  </sheetViews>
  <sheetFormatPr defaultColWidth="9.140625" defaultRowHeight="12.75"/>
  <cols>
    <col min="1" max="1" width="11.421875" style="230" customWidth="1"/>
    <col min="2" max="2" width="22.28125" style="230" customWidth="1"/>
    <col min="3" max="3" width="40.7109375" style="230" customWidth="1"/>
    <col min="4" max="4" width="50.57421875" style="230" customWidth="1"/>
    <col min="5" max="5" width="23.7109375" style="230" customWidth="1"/>
    <col min="6" max="6" width="9.421875" style="230" hidden="1" customWidth="1"/>
    <col min="7" max="29" width="15.140625" style="230" hidden="1" customWidth="1"/>
    <col min="30" max="45" width="8.8515625" style="230" hidden="1" customWidth="1"/>
    <col min="46" max="46" width="9.140625" style="230" hidden="1" customWidth="1"/>
    <col min="47" max="60" width="8.8515625" style="230" hidden="1" customWidth="1"/>
    <col min="61" max="61" width="0" style="230" hidden="1" customWidth="1"/>
    <col min="62" max="16384" width="8.8515625" style="230" customWidth="1"/>
  </cols>
  <sheetData>
    <row r="1" ht="20.25">
      <c r="B1" s="264" t="s">
        <v>240</v>
      </c>
    </row>
    <row r="2" spans="2:3" ht="15">
      <c r="B2" s="151" t="str">
        <f>Tradingname</f>
        <v>EAST AUSTRALIAN PIPELINE PTY LIMITED</v>
      </c>
      <c r="C2" s="152"/>
    </row>
    <row r="3" spans="2:11" ht="19.5" customHeight="1">
      <c r="B3" s="153" t="s">
        <v>180</v>
      </c>
      <c r="C3" s="154">
        <f>Yearending</f>
        <v>44377</v>
      </c>
      <c r="K3" s="270"/>
    </row>
    <row r="4" ht="20.25">
      <c r="B4" s="264"/>
    </row>
    <row r="5" spans="2:5" ht="15.75">
      <c r="B5" s="265" t="s">
        <v>198</v>
      </c>
      <c r="D5" s="110"/>
      <c r="E5" s="110"/>
    </row>
    <row r="6" ht="12.75"/>
    <row r="7" spans="2:61" ht="45" customHeight="1">
      <c r="B7" s="93" t="s">
        <v>219</v>
      </c>
      <c r="C7" s="94" t="s">
        <v>84</v>
      </c>
      <c r="D7" s="94"/>
      <c r="E7" s="109" t="s">
        <v>25</v>
      </c>
      <c r="F7" s="404" t="s">
        <v>83</v>
      </c>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135" t="s">
        <v>207</v>
      </c>
    </row>
    <row r="8" spans="2:60" ht="12.75">
      <c r="B8" s="172"/>
      <c r="C8" s="61"/>
      <c r="D8" s="61"/>
      <c r="E8" s="61"/>
      <c r="F8" s="108">
        <f>C36</f>
        <v>0</v>
      </c>
      <c r="G8" s="108">
        <f>DATE(YEAR(F8)+1,MONTH(F8),DAY(F8))</f>
        <v>366</v>
      </c>
      <c r="H8" s="108">
        <f aca="true" t="shared" si="0" ref="H8:X8">DATE(YEAR(G8)+1,MONTH(G8),DAY(G8))</f>
        <v>731</v>
      </c>
      <c r="I8" s="108">
        <f t="shared" si="0"/>
        <v>1096</v>
      </c>
      <c r="J8" s="108">
        <f t="shared" si="0"/>
        <v>1461</v>
      </c>
      <c r="K8" s="108">
        <f t="shared" si="0"/>
        <v>1827</v>
      </c>
      <c r="L8" s="108">
        <f t="shared" si="0"/>
        <v>2192</v>
      </c>
      <c r="M8" s="108">
        <f t="shared" si="0"/>
        <v>2557</v>
      </c>
      <c r="N8" s="108">
        <f t="shared" si="0"/>
        <v>2922</v>
      </c>
      <c r="O8" s="108">
        <f t="shared" si="0"/>
        <v>3288</v>
      </c>
      <c r="P8" s="108">
        <f t="shared" si="0"/>
        <v>3653</v>
      </c>
      <c r="Q8" s="108">
        <f t="shared" si="0"/>
        <v>4018</v>
      </c>
      <c r="R8" s="108">
        <f t="shared" si="0"/>
        <v>4383</v>
      </c>
      <c r="S8" s="108">
        <f t="shared" si="0"/>
        <v>4749</v>
      </c>
      <c r="T8" s="108">
        <f t="shared" si="0"/>
        <v>5114</v>
      </c>
      <c r="U8" s="108">
        <f t="shared" si="0"/>
        <v>5479</v>
      </c>
      <c r="V8" s="108">
        <f t="shared" si="0"/>
        <v>5844</v>
      </c>
      <c r="W8" s="108">
        <f t="shared" si="0"/>
        <v>6210</v>
      </c>
      <c r="X8" s="108">
        <f t="shared" si="0"/>
        <v>6575</v>
      </c>
      <c r="Y8" s="108">
        <f>DATE(YEAR(X8)+1,MONTH(X8),DAY(X8))</f>
        <v>6940</v>
      </c>
      <c r="Z8" s="108">
        <f>DATE(YEAR(Y8)+1,MONTH(Y8),DAY(Y8))</f>
        <v>7305</v>
      </c>
      <c r="AA8" s="108">
        <f>DATE(YEAR(Z8)+1,MONTH(Z8),DAY(Z8))</f>
        <v>7671</v>
      </c>
      <c r="AB8" s="108">
        <f aca="true" t="shared" si="1" ref="AB8:AR8">DATE(YEAR(AA8)+1,MONTH(AA8),DAY(AA8))</f>
        <v>8036</v>
      </c>
      <c r="AC8" s="108">
        <f t="shared" si="1"/>
        <v>8401</v>
      </c>
      <c r="AD8" s="108">
        <f t="shared" si="1"/>
        <v>8766</v>
      </c>
      <c r="AE8" s="108">
        <f t="shared" si="1"/>
        <v>9132</v>
      </c>
      <c r="AF8" s="108">
        <f t="shared" si="1"/>
        <v>9497</v>
      </c>
      <c r="AG8" s="108">
        <f t="shared" si="1"/>
        <v>9862</v>
      </c>
      <c r="AH8" s="108">
        <f t="shared" si="1"/>
        <v>10227</v>
      </c>
      <c r="AI8" s="108">
        <f t="shared" si="1"/>
        <v>10593</v>
      </c>
      <c r="AJ8" s="108">
        <f t="shared" si="1"/>
        <v>10958</v>
      </c>
      <c r="AK8" s="108">
        <f t="shared" si="1"/>
        <v>11323</v>
      </c>
      <c r="AL8" s="108">
        <f t="shared" si="1"/>
        <v>11688</v>
      </c>
      <c r="AM8" s="108">
        <f t="shared" si="1"/>
        <v>12054</v>
      </c>
      <c r="AN8" s="108">
        <f t="shared" si="1"/>
        <v>12419</v>
      </c>
      <c r="AO8" s="108">
        <f t="shared" si="1"/>
        <v>12784</v>
      </c>
      <c r="AP8" s="108">
        <f t="shared" si="1"/>
        <v>13149</v>
      </c>
      <c r="AQ8" s="108">
        <f t="shared" si="1"/>
        <v>13515</v>
      </c>
      <c r="AR8" s="108">
        <f t="shared" si="1"/>
        <v>13880</v>
      </c>
      <c r="AS8" s="108">
        <f aca="true" t="shared" si="2" ref="AS8:BH8">DATE(YEAR(AR8)+1,MONTH(AR8),DAY(AR8))</f>
        <v>14245</v>
      </c>
      <c r="AT8" s="108">
        <f t="shared" si="2"/>
        <v>14610</v>
      </c>
      <c r="AU8" s="108">
        <f t="shared" si="2"/>
        <v>14976</v>
      </c>
      <c r="AV8" s="108">
        <f t="shared" si="2"/>
        <v>15341</v>
      </c>
      <c r="AW8" s="108">
        <f t="shared" si="2"/>
        <v>15706</v>
      </c>
      <c r="AX8" s="108">
        <f t="shared" si="2"/>
        <v>16071</v>
      </c>
      <c r="AY8" s="108">
        <f t="shared" si="2"/>
        <v>16437</v>
      </c>
      <c r="AZ8" s="108">
        <f t="shared" si="2"/>
        <v>16802</v>
      </c>
      <c r="BA8" s="108">
        <f t="shared" si="2"/>
        <v>17167</v>
      </c>
      <c r="BB8" s="108">
        <f t="shared" si="2"/>
        <v>17532</v>
      </c>
      <c r="BC8" s="108">
        <f t="shared" si="2"/>
        <v>17898</v>
      </c>
      <c r="BD8" s="108">
        <f t="shared" si="2"/>
        <v>18263</v>
      </c>
      <c r="BE8" s="108">
        <f t="shared" si="2"/>
        <v>18628</v>
      </c>
      <c r="BF8" s="108">
        <f t="shared" si="2"/>
        <v>18993</v>
      </c>
      <c r="BG8" s="108">
        <f t="shared" si="2"/>
        <v>19359</v>
      </c>
      <c r="BH8" s="108">
        <f t="shared" si="2"/>
        <v>19724</v>
      </c>
    </row>
    <row r="9" spans="2:60" ht="12.75">
      <c r="B9" s="338">
        <v>4</v>
      </c>
      <c r="C9" s="107" t="s">
        <v>70</v>
      </c>
      <c r="D9" s="95"/>
      <c r="E9" s="112"/>
      <c r="F9" s="111"/>
      <c r="G9" s="226"/>
      <c r="H9" s="226"/>
      <c r="I9" s="226"/>
      <c r="J9" s="226"/>
      <c r="K9" s="226"/>
      <c r="L9" s="226"/>
      <c r="M9" s="226"/>
      <c r="N9" s="226"/>
      <c r="O9" s="226"/>
      <c r="P9" s="226"/>
      <c r="Q9" s="226"/>
      <c r="R9" s="226"/>
      <c r="S9" s="226"/>
      <c r="T9" s="226"/>
      <c r="U9" s="226"/>
      <c r="V9" s="226"/>
      <c r="W9" s="226"/>
      <c r="X9" s="226"/>
      <c r="Y9" s="226"/>
      <c r="Z9" s="226"/>
      <c r="AA9" s="226"/>
      <c r="AB9" s="226"/>
      <c r="AC9" s="226"/>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row>
    <row r="10" spans="2:60" ht="12.75">
      <c r="B10" s="339"/>
      <c r="C10" s="107"/>
      <c r="D10" s="95" t="s">
        <v>75</v>
      </c>
      <c r="E10" s="251">
        <f aca="true" t="shared" si="3" ref="E10:E30">SUM(F10:BH10)</f>
        <v>0</v>
      </c>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row>
    <row r="11" spans="2:60" ht="12.75">
      <c r="B11" s="339"/>
      <c r="C11" s="107"/>
      <c r="D11" s="95" t="s">
        <v>167</v>
      </c>
      <c r="E11" s="251">
        <f>C37</f>
        <v>0</v>
      </c>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2"/>
      <c r="AZ11" s="252"/>
      <c r="BA11" s="252"/>
      <c r="BB11" s="252"/>
      <c r="BC11" s="252"/>
      <c r="BD11" s="252"/>
      <c r="BE11" s="252"/>
      <c r="BF11" s="252"/>
      <c r="BG11" s="252"/>
      <c r="BH11" s="252"/>
    </row>
    <row r="12" spans="2:60" ht="12.75">
      <c r="B12" s="339"/>
      <c r="C12" s="107"/>
      <c r="D12" s="95" t="s">
        <v>76</v>
      </c>
      <c r="E12" s="251">
        <f t="shared" si="3"/>
        <v>0</v>
      </c>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row>
    <row r="13" spans="2:60" ht="12.75">
      <c r="B13" s="339"/>
      <c r="C13" s="107"/>
      <c r="D13" s="95" t="s">
        <v>121</v>
      </c>
      <c r="E13" s="251">
        <f t="shared" si="3"/>
        <v>0</v>
      </c>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row>
    <row r="14" spans="2:60" ht="12.75">
      <c r="B14" s="339"/>
      <c r="C14" s="107"/>
      <c r="D14" s="95" t="s">
        <v>349</v>
      </c>
      <c r="E14" s="251">
        <f t="shared" si="3"/>
        <v>0</v>
      </c>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2"/>
      <c r="AY14" s="252"/>
      <c r="AZ14" s="252"/>
      <c r="BA14" s="252"/>
      <c r="BB14" s="252"/>
      <c r="BC14" s="252"/>
      <c r="BD14" s="252"/>
      <c r="BE14" s="252"/>
      <c r="BF14" s="252"/>
      <c r="BG14" s="252"/>
      <c r="BH14" s="252"/>
    </row>
    <row r="15" spans="2:60" ht="12.75">
      <c r="B15" s="339"/>
      <c r="C15" s="107"/>
      <c r="D15" s="95" t="s">
        <v>79</v>
      </c>
      <c r="E15" s="251">
        <f t="shared" si="3"/>
        <v>0</v>
      </c>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row>
    <row r="16" spans="2:60" ht="12.75">
      <c r="B16" s="339"/>
      <c r="C16" s="107"/>
      <c r="D16" s="107" t="s">
        <v>77</v>
      </c>
      <c r="E16" s="251">
        <f t="shared" si="3"/>
        <v>0</v>
      </c>
      <c r="F16" s="219">
        <f>SUM(F9:F15)</f>
        <v>0</v>
      </c>
      <c r="G16" s="219">
        <f aca="true" t="shared" si="4" ref="G16:AK16">SUM(G9:G15)</f>
        <v>0</v>
      </c>
      <c r="H16" s="219">
        <f t="shared" si="4"/>
        <v>0</v>
      </c>
      <c r="I16" s="219">
        <f t="shared" si="4"/>
        <v>0</v>
      </c>
      <c r="J16" s="219">
        <f t="shared" si="4"/>
        <v>0</v>
      </c>
      <c r="K16" s="219">
        <f t="shared" si="4"/>
        <v>0</v>
      </c>
      <c r="L16" s="219">
        <f t="shared" si="4"/>
        <v>0</v>
      </c>
      <c r="M16" s="219">
        <f t="shared" si="4"/>
        <v>0</v>
      </c>
      <c r="N16" s="219">
        <f t="shared" si="4"/>
        <v>0</v>
      </c>
      <c r="O16" s="219">
        <f t="shared" si="4"/>
        <v>0</v>
      </c>
      <c r="P16" s="219">
        <f t="shared" si="4"/>
        <v>0</v>
      </c>
      <c r="Q16" s="219">
        <f t="shared" si="4"/>
        <v>0</v>
      </c>
      <c r="R16" s="219">
        <f t="shared" si="4"/>
        <v>0</v>
      </c>
      <c r="S16" s="219">
        <f t="shared" si="4"/>
        <v>0</v>
      </c>
      <c r="T16" s="219">
        <f t="shared" si="4"/>
        <v>0</v>
      </c>
      <c r="U16" s="219">
        <f t="shared" si="4"/>
        <v>0</v>
      </c>
      <c r="V16" s="219">
        <f t="shared" si="4"/>
        <v>0</v>
      </c>
      <c r="W16" s="219">
        <f t="shared" si="4"/>
        <v>0</v>
      </c>
      <c r="X16" s="219">
        <f t="shared" si="4"/>
        <v>0</v>
      </c>
      <c r="Y16" s="219">
        <f t="shared" si="4"/>
        <v>0</v>
      </c>
      <c r="Z16" s="219">
        <f t="shared" si="4"/>
        <v>0</v>
      </c>
      <c r="AA16" s="219">
        <f t="shared" si="4"/>
        <v>0</v>
      </c>
      <c r="AB16" s="219">
        <f t="shared" si="4"/>
        <v>0</v>
      </c>
      <c r="AC16" s="219">
        <f t="shared" si="4"/>
        <v>0</v>
      </c>
      <c r="AD16" s="219">
        <f t="shared" si="4"/>
        <v>0</v>
      </c>
      <c r="AE16" s="219">
        <f t="shared" si="4"/>
        <v>0</v>
      </c>
      <c r="AF16" s="219">
        <f t="shared" si="4"/>
        <v>0</v>
      </c>
      <c r="AG16" s="219">
        <f t="shared" si="4"/>
        <v>0</v>
      </c>
      <c r="AH16" s="219">
        <f t="shared" si="4"/>
        <v>0</v>
      </c>
      <c r="AI16" s="219">
        <f t="shared" si="4"/>
        <v>0</v>
      </c>
      <c r="AJ16" s="219">
        <f t="shared" si="4"/>
        <v>0</v>
      </c>
      <c r="AK16" s="219">
        <f t="shared" si="4"/>
        <v>0</v>
      </c>
      <c r="AL16" s="219">
        <f aca="true" t="shared" si="5" ref="AL16:BH16">SUM(AL9:AL15)</f>
        <v>0</v>
      </c>
      <c r="AM16" s="219">
        <f t="shared" si="5"/>
        <v>0</v>
      </c>
      <c r="AN16" s="219">
        <f t="shared" si="5"/>
        <v>0</v>
      </c>
      <c r="AO16" s="219">
        <f t="shared" si="5"/>
        <v>0</v>
      </c>
      <c r="AP16" s="219">
        <f t="shared" si="5"/>
        <v>0</v>
      </c>
      <c r="AQ16" s="219">
        <f t="shared" si="5"/>
        <v>0</v>
      </c>
      <c r="AR16" s="219">
        <f t="shared" si="5"/>
        <v>0</v>
      </c>
      <c r="AS16" s="219">
        <f t="shared" si="5"/>
        <v>0</v>
      </c>
      <c r="AT16" s="219">
        <f t="shared" si="5"/>
        <v>0</v>
      </c>
      <c r="AU16" s="219">
        <f t="shared" si="5"/>
        <v>0</v>
      </c>
      <c r="AV16" s="219">
        <f t="shared" si="5"/>
        <v>0</v>
      </c>
      <c r="AW16" s="219">
        <f t="shared" si="5"/>
        <v>0</v>
      </c>
      <c r="AX16" s="219">
        <f t="shared" si="5"/>
        <v>0</v>
      </c>
      <c r="AY16" s="219">
        <f t="shared" si="5"/>
        <v>0</v>
      </c>
      <c r="AZ16" s="219">
        <f t="shared" si="5"/>
        <v>0</v>
      </c>
      <c r="BA16" s="219">
        <f t="shared" si="5"/>
        <v>0</v>
      </c>
      <c r="BB16" s="219">
        <f t="shared" si="5"/>
        <v>0</v>
      </c>
      <c r="BC16" s="219">
        <f t="shared" si="5"/>
        <v>0</v>
      </c>
      <c r="BD16" s="219">
        <f t="shared" si="5"/>
        <v>0</v>
      </c>
      <c r="BE16" s="219">
        <f t="shared" si="5"/>
        <v>0</v>
      </c>
      <c r="BF16" s="219">
        <f t="shared" si="5"/>
        <v>0</v>
      </c>
      <c r="BG16" s="219">
        <f t="shared" si="5"/>
        <v>0</v>
      </c>
      <c r="BH16" s="219">
        <f t="shared" si="5"/>
        <v>0</v>
      </c>
    </row>
    <row r="17" spans="2:60" ht="12.75">
      <c r="B17" s="340" t="s">
        <v>541</v>
      </c>
      <c r="C17" s="107" t="s">
        <v>118</v>
      </c>
      <c r="D17" s="107"/>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row>
    <row r="18" spans="2:60" ht="25.5">
      <c r="B18" s="133"/>
      <c r="C18" s="107"/>
      <c r="D18" s="95" t="s">
        <v>164</v>
      </c>
      <c r="E18" s="251">
        <f>SUM(F18:BH18)</f>
        <v>0</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252"/>
      <c r="BC18" s="252"/>
      <c r="BD18" s="252"/>
      <c r="BE18" s="252"/>
      <c r="BF18" s="252"/>
      <c r="BG18" s="252"/>
      <c r="BH18" s="252"/>
    </row>
    <row r="19" spans="2:60" ht="12.75">
      <c r="B19" s="133"/>
      <c r="C19" s="107"/>
      <c r="D19" s="95" t="s">
        <v>76</v>
      </c>
      <c r="E19" s="251">
        <f t="shared" si="3"/>
        <v>0</v>
      </c>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row>
    <row r="20" spans="2:60" ht="12.75">
      <c r="B20" s="133"/>
      <c r="C20" s="107"/>
      <c r="D20" s="95" t="s">
        <v>121</v>
      </c>
      <c r="E20" s="251">
        <f t="shared" si="3"/>
        <v>0</v>
      </c>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row>
    <row r="21" spans="2:60" ht="12.75">
      <c r="B21" s="133"/>
      <c r="C21" s="107"/>
      <c r="D21" s="95" t="s">
        <v>349</v>
      </c>
      <c r="E21" s="251">
        <f t="shared" si="3"/>
        <v>0</v>
      </c>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row>
    <row r="22" spans="2:60" ht="12.75">
      <c r="B22" s="133"/>
      <c r="C22" s="107"/>
      <c r="D22" s="95" t="s">
        <v>79</v>
      </c>
      <c r="E22" s="251">
        <f t="shared" si="3"/>
        <v>0</v>
      </c>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row>
    <row r="23" spans="2:60" ht="12.75">
      <c r="B23" s="133"/>
      <c r="C23" s="107"/>
      <c r="D23" s="107" t="s">
        <v>77</v>
      </c>
      <c r="E23" s="251">
        <f>SUM(F23:BH23)</f>
        <v>0</v>
      </c>
      <c r="F23" s="219">
        <f>SUM(F18:F22)</f>
        <v>0</v>
      </c>
      <c r="G23" s="219">
        <f aca="true" t="shared" si="6" ref="G23:AK23">SUM(G18:G22)</f>
        <v>0</v>
      </c>
      <c r="H23" s="219">
        <f t="shared" si="6"/>
        <v>0</v>
      </c>
      <c r="I23" s="219">
        <f t="shared" si="6"/>
        <v>0</v>
      </c>
      <c r="J23" s="219">
        <f t="shared" si="6"/>
        <v>0</v>
      </c>
      <c r="K23" s="219">
        <f t="shared" si="6"/>
        <v>0</v>
      </c>
      <c r="L23" s="219">
        <f t="shared" si="6"/>
        <v>0</v>
      </c>
      <c r="M23" s="219">
        <f t="shared" si="6"/>
        <v>0</v>
      </c>
      <c r="N23" s="219">
        <f t="shared" si="6"/>
        <v>0</v>
      </c>
      <c r="O23" s="219">
        <f t="shared" si="6"/>
        <v>0</v>
      </c>
      <c r="P23" s="219">
        <f t="shared" si="6"/>
        <v>0</v>
      </c>
      <c r="Q23" s="219">
        <f t="shared" si="6"/>
        <v>0</v>
      </c>
      <c r="R23" s="219">
        <f t="shared" si="6"/>
        <v>0</v>
      </c>
      <c r="S23" s="219">
        <f t="shared" si="6"/>
        <v>0</v>
      </c>
      <c r="T23" s="219">
        <f t="shared" si="6"/>
        <v>0</v>
      </c>
      <c r="U23" s="219">
        <f t="shared" si="6"/>
        <v>0</v>
      </c>
      <c r="V23" s="219">
        <f t="shared" si="6"/>
        <v>0</v>
      </c>
      <c r="W23" s="219">
        <f t="shared" si="6"/>
        <v>0</v>
      </c>
      <c r="X23" s="219">
        <f t="shared" si="6"/>
        <v>0</v>
      </c>
      <c r="Y23" s="219">
        <f t="shared" si="6"/>
        <v>0</v>
      </c>
      <c r="Z23" s="219">
        <f t="shared" si="6"/>
        <v>0</v>
      </c>
      <c r="AA23" s="219">
        <f t="shared" si="6"/>
        <v>0</v>
      </c>
      <c r="AB23" s="219">
        <f t="shared" si="6"/>
        <v>0</v>
      </c>
      <c r="AC23" s="219">
        <f t="shared" si="6"/>
        <v>0</v>
      </c>
      <c r="AD23" s="219">
        <f t="shared" si="6"/>
        <v>0</v>
      </c>
      <c r="AE23" s="219">
        <f t="shared" si="6"/>
        <v>0</v>
      </c>
      <c r="AF23" s="219">
        <f t="shared" si="6"/>
        <v>0</v>
      </c>
      <c r="AG23" s="219">
        <f t="shared" si="6"/>
        <v>0</v>
      </c>
      <c r="AH23" s="219">
        <f t="shared" si="6"/>
        <v>0</v>
      </c>
      <c r="AI23" s="219">
        <f t="shared" si="6"/>
        <v>0</v>
      </c>
      <c r="AJ23" s="219">
        <f t="shared" si="6"/>
        <v>0</v>
      </c>
      <c r="AK23" s="219">
        <f t="shared" si="6"/>
        <v>0</v>
      </c>
      <c r="AL23" s="219">
        <f aca="true" t="shared" si="7" ref="AL23:BH23">SUM(AL18:AL22)</f>
        <v>0</v>
      </c>
      <c r="AM23" s="219">
        <f t="shared" si="7"/>
        <v>0</v>
      </c>
      <c r="AN23" s="219">
        <f t="shared" si="7"/>
        <v>0</v>
      </c>
      <c r="AO23" s="219">
        <f t="shared" si="7"/>
        <v>0</v>
      </c>
      <c r="AP23" s="219">
        <f t="shared" si="7"/>
        <v>0</v>
      </c>
      <c r="AQ23" s="219">
        <f t="shared" si="7"/>
        <v>0</v>
      </c>
      <c r="AR23" s="219">
        <f t="shared" si="7"/>
        <v>0</v>
      </c>
      <c r="AS23" s="219">
        <f t="shared" si="7"/>
        <v>0</v>
      </c>
      <c r="AT23" s="219">
        <f t="shared" si="7"/>
        <v>0</v>
      </c>
      <c r="AU23" s="219">
        <f t="shared" si="7"/>
        <v>0</v>
      </c>
      <c r="AV23" s="219">
        <f t="shared" si="7"/>
        <v>0</v>
      </c>
      <c r="AW23" s="219">
        <f t="shared" si="7"/>
        <v>0</v>
      </c>
      <c r="AX23" s="219">
        <f t="shared" si="7"/>
        <v>0</v>
      </c>
      <c r="AY23" s="219">
        <f t="shared" si="7"/>
        <v>0</v>
      </c>
      <c r="AZ23" s="219">
        <f t="shared" si="7"/>
        <v>0</v>
      </c>
      <c r="BA23" s="219">
        <f t="shared" si="7"/>
        <v>0</v>
      </c>
      <c r="BB23" s="219">
        <f t="shared" si="7"/>
        <v>0</v>
      </c>
      <c r="BC23" s="219">
        <f t="shared" si="7"/>
        <v>0</v>
      </c>
      <c r="BD23" s="219">
        <f t="shared" si="7"/>
        <v>0</v>
      </c>
      <c r="BE23" s="219">
        <f t="shared" si="7"/>
        <v>0</v>
      </c>
      <c r="BF23" s="219">
        <f t="shared" si="7"/>
        <v>0</v>
      </c>
      <c r="BG23" s="219">
        <f t="shared" si="7"/>
        <v>0</v>
      </c>
      <c r="BH23" s="219">
        <f t="shared" si="7"/>
        <v>0</v>
      </c>
    </row>
    <row r="24" spans="2:60" ht="12.75">
      <c r="B24" s="133"/>
      <c r="C24" s="107"/>
      <c r="D24" s="107" t="s">
        <v>95</v>
      </c>
      <c r="E24" s="251">
        <f>E16+E23</f>
        <v>0</v>
      </c>
      <c r="F24" s="251">
        <f aca="true" t="shared" si="8" ref="F24:BH24">F16+F23</f>
        <v>0</v>
      </c>
      <c r="G24" s="251">
        <f t="shared" si="8"/>
        <v>0</v>
      </c>
      <c r="H24" s="251">
        <f t="shared" si="8"/>
        <v>0</v>
      </c>
      <c r="I24" s="251">
        <f t="shared" si="8"/>
        <v>0</v>
      </c>
      <c r="J24" s="251">
        <f t="shared" si="8"/>
        <v>0</v>
      </c>
      <c r="K24" s="251">
        <f t="shared" si="8"/>
        <v>0</v>
      </c>
      <c r="L24" s="251">
        <f t="shared" si="8"/>
        <v>0</v>
      </c>
      <c r="M24" s="251">
        <f t="shared" si="8"/>
        <v>0</v>
      </c>
      <c r="N24" s="251">
        <f t="shared" si="8"/>
        <v>0</v>
      </c>
      <c r="O24" s="251">
        <f t="shared" si="8"/>
        <v>0</v>
      </c>
      <c r="P24" s="251">
        <f t="shared" si="8"/>
        <v>0</v>
      </c>
      <c r="Q24" s="251">
        <f t="shared" si="8"/>
        <v>0</v>
      </c>
      <c r="R24" s="251">
        <f t="shared" si="8"/>
        <v>0</v>
      </c>
      <c r="S24" s="251">
        <f t="shared" si="8"/>
        <v>0</v>
      </c>
      <c r="T24" s="251">
        <f t="shared" si="8"/>
        <v>0</v>
      </c>
      <c r="U24" s="251">
        <f t="shared" si="8"/>
        <v>0</v>
      </c>
      <c r="V24" s="251">
        <f t="shared" si="8"/>
        <v>0</v>
      </c>
      <c r="W24" s="251">
        <f t="shared" si="8"/>
        <v>0</v>
      </c>
      <c r="X24" s="251">
        <f t="shared" si="8"/>
        <v>0</v>
      </c>
      <c r="Y24" s="251">
        <f t="shared" si="8"/>
        <v>0</v>
      </c>
      <c r="Z24" s="251">
        <f t="shared" si="8"/>
        <v>0</v>
      </c>
      <c r="AA24" s="251">
        <f t="shared" si="8"/>
        <v>0</v>
      </c>
      <c r="AB24" s="251">
        <f t="shared" si="8"/>
        <v>0</v>
      </c>
      <c r="AC24" s="251">
        <f t="shared" si="8"/>
        <v>0</v>
      </c>
      <c r="AD24" s="251">
        <f t="shared" si="8"/>
        <v>0</v>
      </c>
      <c r="AE24" s="251">
        <f t="shared" si="8"/>
        <v>0</v>
      </c>
      <c r="AF24" s="251">
        <f t="shared" si="8"/>
        <v>0</v>
      </c>
      <c r="AG24" s="251">
        <f t="shared" si="8"/>
        <v>0</v>
      </c>
      <c r="AH24" s="251">
        <f t="shared" si="8"/>
        <v>0</v>
      </c>
      <c r="AI24" s="251">
        <f t="shared" si="8"/>
        <v>0</v>
      </c>
      <c r="AJ24" s="251">
        <f t="shared" si="8"/>
        <v>0</v>
      </c>
      <c r="AK24" s="251">
        <f t="shared" si="8"/>
        <v>0</v>
      </c>
      <c r="AL24" s="251">
        <f t="shared" si="8"/>
        <v>0</v>
      </c>
      <c r="AM24" s="251">
        <f t="shared" si="8"/>
        <v>0</v>
      </c>
      <c r="AN24" s="251">
        <f t="shared" si="8"/>
        <v>0</v>
      </c>
      <c r="AO24" s="251">
        <f t="shared" si="8"/>
        <v>0</v>
      </c>
      <c r="AP24" s="251">
        <f t="shared" si="8"/>
        <v>0</v>
      </c>
      <c r="AQ24" s="251">
        <f t="shared" si="8"/>
        <v>0</v>
      </c>
      <c r="AR24" s="251">
        <f t="shared" si="8"/>
        <v>0</v>
      </c>
      <c r="AS24" s="251">
        <f t="shared" si="8"/>
        <v>0</v>
      </c>
      <c r="AT24" s="251">
        <f t="shared" si="8"/>
        <v>0</v>
      </c>
      <c r="AU24" s="251">
        <f t="shared" si="8"/>
        <v>0</v>
      </c>
      <c r="AV24" s="251">
        <f t="shared" si="8"/>
        <v>0</v>
      </c>
      <c r="AW24" s="251">
        <f t="shared" si="8"/>
        <v>0</v>
      </c>
      <c r="AX24" s="251">
        <f t="shared" si="8"/>
        <v>0</v>
      </c>
      <c r="AY24" s="251">
        <f t="shared" si="8"/>
        <v>0</v>
      </c>
      <c r="AZ24" s="251">
        <f t="shared" si="8"/>
        <v>0</v>
      </c>
      <c r="BA24" s="251">
        <f t="shared" si="8"/>
        <v>0</v>
      </c>
      <c r="BB24" s="251">
        <f t="shared" si="8"/>
        <v>0</v>
      </c>
      <c r="BC24" s="251">
        <f t="shared" si="8"/>
        <v>0</v>
      </c>
      <c r="BD24" s="251">
        <f t="shared" si="8"/>
        <v>0</v>
      </c>
      <c r="BE24" s="251">
        <f t="shared" si="8"/>
        <v>0</v>
      </c>
      <c r="BF24" s="251">
        <f t="shared" si="8"/>
        <v>0</v>
      </c>
      <c r="BG24" s="251">
        <f t="shared" si="8"/>
        <v>0</v>
      </c>
      <c r="BH24" s="251">
        <f t="shared" si="8"/>
        <v>0</v>
      </c>
    </row>
    <row r="25" spans="2:60" ht="12.75">
      <c r="B25" s="339"/>
      <c r="C25" s="107" t="s">
        <v>205</v>
      </c>
      <c r="D25" s="107"/>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row>
    <row r="26" spans="2:60" ht="12.75">
      <c r="B26" s="339" t="s">
        <v>542</v>
      </c>
      <c r="C26" s="107"/>
      <c r="D26" s="120" t="s">
        <v>115</v>
      </c>
      <c r="E26" s="251">
        <f t="shared" si="3"/>
        <v>0</v>
      </c>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252"/>
      <c r="BE26" s="252"/>
      <c r="BF26" s="252"/>
      <c r="BG26" s="252"/>
      <c r="BH26" s="252"/>
    </row>
    <row r="27" spans="2:60" ht="12.75">
      <c r="B27" s="339" t="s">
        <v>542</v>
      </c>
      <c r="C27" s="107"/>
      <c r="D27" s="120" t="s">
        <v>116</v>
      </c>
      <c r="E27" s="251">
        <f t="shared" si="3"/>
        <v>0</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row>
    <row r="28" spans="2:60" ht="12.75">
      <c r="B28" s="339" t="s">
        <v>542</v>
      </c>
      <c r="C28" s="107"/>
      <c r="D28" s="95" t="s">
        <v>350</v>
      </c>
      <c r="E28" s="251">
        <f t="shared" si="3"/>
        <v>0</v>
      </c>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2"/>
      <c r="AZ28" s="252"/>
      <c r="BA28" s="252"/>
      <c r="BB28" s="252"/>
      <c r="BC28" s="252"/>
      <c r="BD28" s="252"/>
      <c r="BE28" s="252"/>
      <c r="BF28" s="252"/>
      <c r="BG28" s="252"/>
      <c r="BH28" s="252"/>
    </row>
    <row r="29" spans="2:60" ht="12.75">
      <c r="B29" s="339" t="s">
        <v>543</v>
      </c>
      <c r="C29" s="107"/>
      <c r="D29" s="120" t="s">
        <v>117</v>
      </c>
      <c r="E29" s="251">
        <f t="shared" si="3"/>
        <v>0</v>
      </c>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2"/>
      <c r="AZ29" s="252"/>
      <c r="BA29" s="252"/>
      <c r="BB29" s="252"/>
      <c r="BC29" s="252"/>
      <c r="BD29" s="252"/>
      <c r="BE29" s="252"/>
      <c r="BF29" s="252"/>
      <c r="BG29" s="252"/>
      <c r="BH29" s="252"/>
    </row>
    <row r="30" spans="2:60" ht="12.75">
      <c r="B30" s="339" t="s">
        <v>544</v>
      </c>
      <c r="C30" s="107"/>
      <c r="D30" s="120" t="s">
        <v>165</v>
      </c>
      <c r="E30" s="251">
        <f t="shared" si="3"/>
        <v>0</v>
      </c>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row>
    <row r="31" spans="2:60" ht="12.75">
      <c r="B31" s="133"/>
      <c r="C31" s="107"/>
      <c r="D31" s="107" t="s">
        <v>166</v>
      </c>
      <c r="E31" s="251">
        <f>SUM(F31:BH31)</f>
        <v>0</v>
      </c>
      <c r="F31" s="219">
        <f>SUM(F26:F30)</f>
        <v>0</v>
      </c>
      <c r="G31" s="219">
        <f aca="true" t="shared" si="9" ref="G31:M31">SUM(G26:G30)</f>
        <v>0</v>
      </c>
      <c r="H31" s="219">
        <f t="shared" si="9"/>
        <v>0</v>
      </c>
      <c r="I31" s="219">
        <f t="shared" si="9"/>
        <v>0</v>
      </c>
      <c r="J31" s="219">
        <f t="shared" si="9"/>
        <v>0</v>
      </c>
      <c r="K31" s="219">
        <f t="shared" si="9"/>
        <v>0</v>
      </c>
      <c r="L31" s="219">
        <f t="shared" si="9"/>
        <v>0</v>
      </c>
      <c r="M31" s="219">
        <f t="shared" si="9"/>
        <v>0</v>
      </c>
      <c r="N31" s="219">
        <f>SUM(N26:N30)</f>
        <v>0</v>
      </c>
      <c r="O31" s="219">
        <f aca="true" t="shared" si="10" ref="O31:BE31">SUM(O26:O30)</f>
        <v>0</v>
      </c>
      <c r="P31" s="219">
        <f t="shared" si="10"/>
        <v>0</v>
      </c>
      <c r="Q31" s="219">
        <f t="shared" si="10"/>
        <v>0</v>
      </c>
      <c r="R31" s="219">
        <f t="shared" si="10"/>
        <v>0</v>
      </c>
      <c r="S31" s="219">
        <f t="shared" si="10"/>
        <v>0</v>
      </c>
      <c r="T31" s="219">
        <f t="shared" si="10"/>
        <v>0</v>
      </c>
      <c r="U31" s="219">
        <f t="shared" si="10"/>
        <v>0</v>
      </c>
      <c r="V31" s="219">
        <f t="shared" si="10"/>
        <v>0</v>
      </c>
      <c r="W31" s="219">
        <f t="shared" si="10"/>
        <v>0</v>
      </c>
      <c r="X31" s="219">
        <f t="shared" si="10"/>
        <v>0</v>
      </c>
      <c r="Y31" s="219">
        <f t="shared" si="10"/>
        <v>0</v>
      </c>
      <c r="Z31" s="219">
        <f t="shared" si="10"/>
        <v>0</v>
      </c>
      <c r="AA31" s="219">
        <f t="shared" si="10"/>
        <v>0</v>
      </c>
      <c r="AB31" s="219">
        <f>SUM(AB26:AB30)</f>
        <v>0</v>
      </c>
      <c r="AC31" s="219">
        <f t="shared" si="10"/>
        <v>0</v>
      </c>
      <c r="AD31" s="219">
        <f t="shared" si="10"/>
        <v>0</v>
      </c>
      <c r="AE31" s="219">
        <f t="shared" si="10"/>
        <v>0</v>
      </c>
      <c r="AF31" s="219">
        <f t="shared" si="10"/>
        <v>0</v>
      </c>
      <c r="AG31" s="219">
        <f t="shared" si="10"/>
        <v>0</v>
      </c>
      <c r="AH31" s="219">
        <f t="shared" si="10"/>
        <v>0</v>
      </c>
      <c r="AI31" s="219">
        <f t="shared" si="10"/>
        <v>0</v>
      </c>
      <c r="AJ31" s="219">
        <f t="shared" si="10"/>
        <v>0</v>
      </c>
      <c r="AK31" s="219">
        <f t="shared" si="10"/>
        <v>0</v>
      </c>
      <c r="AL31" s="219">
        <f t="shared" si="10"/>
        <v>0</v>
      </c>
      <c r="AM31" s="219">
        <f t="shared" si="10"/>
        <v>0</v>
      </c>
      <c r="AN31" s="219">
        <f t="shared" si="10"/>
        <v>0</v>
      </c>
      <c r="AO31" s="219">
        <f t="shared" si="10"/>
        <v>0</v>
      </c>
      <c r="AP31" s="219">
        <f t="shared" si="10"/>
        <v>0</v>
      </c>
      <c r="AQ31" s="219">
        <f t="shared" si="10"/>
        <v>0</v>
      </c>
      <c r="AR31" s="219">
        <f t="shared" si="10"/>
        <v>0</v>
      </c>
      <c r="AS31" s="219">
        <f t="shared" si="10"/>
        <v>0</v>
      </c>
      <c r="AT31" s="219">
        <f t="shared" si="10"/>
        <v>0</v>
      </c>
      <c r="AU31" s="219">
        <f t="shared" si="10"/>
        <v>0</v>
      </c>
      <c r="AV31" s="219">
        <f t="shared" si="10"/>
        <v>0</v>
      </c>
      <c r="AW31" s="219">
        <f t="shared" si="10"/>
        <v>0</v>
      </c>
      <c r="AX31" s="219">
        <f t="shared" si="10"/>
        <v>0</v>
      </c>
      <c r="AY31" s="219">
        <f t="shared" si="10"/>
        <v>0</v>
      </c>
      <c r="AZ31" s="219">
        <f t="shared" si="10"/>
        <v>0</v>
      </c>
      <c r="BA31" s="219">
        <f t="shared" si="10"/>
        <v>0</v>
      </c>
      <c r="BB31" s="219">
        <f t="shared" si="10"/>
        <v>0</v>
      </c>
      <c r="BC31" s="219">
        <f t="shared" si="10"/>
        <v>0</v>
      </c>
      <c r="BD31" s="219">
        <f t="shared" si="10"/>
        <v>0</v>
      </c>
      <c r="BE31" s="219">
        <f t="shared" si="10"/>
        <v>0</v>
      </c>
      <c r="BF31" s="219">
        <f>SUM(BF26:BF30)</f>
        <v>0</v>
      </c>
      <c r="BG31" s="219">
        <f>SUM(BG26:BG30)</f>
        <v>0</v>
      </c>
      <c r="BH31" s="219">
        <f>SUM(BH26:BH30)</f>
        <v>0</v>
      </c>
    </row>
    <row r="32" spans="2:60" ht="36" customHeight="1">
      <c r="B32" s="97"/>
      <c r="C32" s="96"/>
      <c r="D32" s="173" t="s">
        <v>206</v>
      </c>
      <c r="E32" s="251">
        <f>SUM(F32:BH32)</f>
        <v>0</v>
      </c>
      <c r="F32" s="219">
        <f>F16+F23-F31</f>
        <v>0</v>
      </c>
      <c r="G32" s="219">
        <f>G16+G23-G31</f>
        <v>0</v>
      </c>
      <c r="H32" s="219">
        <f>H16+H23-H31</f>
        <v>0</v>
      </c>
      <c r="I32" s="219">
        <f aca="true" t="shared" si="11" ref="I32:BH32">I16+I23-I31</f>
        <v>0</v>
      </c>
      <c r="J32" s="219">
        <f t="shared" si="11"/>
        <v>0</v>
      </c>
      <c r="K32" s="219">
        <f t="shared" si="11"/>
        <v>0</v>
      </c>
      <c r="L32" s="219">
        <f t="shared" si="11"/>
        <v>0</v>
      </c>
      <c r="M32" s="219">
        <f t="shared" si="11"/>
        <v>0</v>
      </c>
      <c r="N32" s="219">
        <f t="shared" si="11"/>
        <v>0</v>
      </c>
      <c r="O32" s="219">
        <f t="shared" si="11"/>
        <v>0</v>
      </c>
      <c r="P32" s="219">
        <f t="shared" si="11"/>
        <v>0</v>
      </c>
      <c r="Q32" s="219">
        <f t="shared" si="11"/>
        <v>0</v>
      </c>
      <c r="R32" s="219">
        <f t="shared" si="11"/>
        <v>0</v>
      </c>
      <c r="S32" s="219">
        <f t="shared" si="11"/>
        <v>0</v>
      </c>
      <c r="T32" s="219">
        <f t="shared" si="11"/>
        <v>0</v>
      </c>
      <c r="U32" s="219">
        <f t="shared" si="11"/>
        <v>0</v>
      </c>
      <c r="V32" s="219">
        <f t="shared" si="11"/>
        <v>0</v>
      </c>
      <c r="W32" s="219">
        <f t="shared" si="11"/>
        <v>0</v>
      </c>
      <c r="X32" s="219">
        <f t="shared" si="11"/>
        <v>0</v>
      </c>
      <c r="Y32" s="219">
        <f t="shared" si="11"/>
        <v>0</v>
      </c>
      <c r="Z32" s="219">
        <f t="shared" si="11"/>
        <v>0</v>
      </c>
      <c r="AA32" s="219">
        <f t="shared" si="11"/>
        <v>0</v>
      </c>
      <c r="AB32" s="219">
        <f t="shared" si="11"/>
        <v>0</v>
      </c>
      <c r="AC32" s="219">
        <f t="shared" si="11"/>
        <v>0</v>
      </c>
      <c r="AD32" s="219">
        <f t="shared" si="11"/>
        <v>0</v>
      </c>
      <c r="AE32" s="219">
        <f t="shared" si="11"/>
        <v>0</v>
      </c>
      <c r="AF32" s="219">
        <f t="shared" si="11"/>
        <v>0</v>
      </c>
      <c r="AG32" s="219">
        <f t="shared" si="11"/>
        <v>0</v>
      </c>
      <c r="AH32" s="219">
        <f t="shared" si="11"/>
        <v>0</v>
      </c>
      <c r="AI32" s="219">
        <f t="shared" si="11"/>
        <v>0</v>
      </c>
      <c r="AJ32" s="219">
        <f t="shared" si="11"/>
        <v>0</v>
      </c>
      <c r="AK32" s="219">
        <f t="shared" si="11"/>
        <v>0</v>
      </c>
      <c r="AL32" s="219">
        <f t="shared" si="11"/>
        <v>0</v>
      </c>
      <c r="AM32" s="219">
        <f t="shared" si="11"/>
        <v>0</v>
      </c>
      <c r="AN32" s="219">
        <f t="shared" si="11"/>
        <v>0</v>
      </c>
      <c r="AO32" s="219">
        <f t="shared" si="11"/>
        <v>0</v>
      </c>
      <c r="AP32" s="219">
        <f t="shared" si="11"/>
        <v>0</v>
      </c>
      <c r="AQ32" s="219">
        <f t="shared" si="11"/>
        <v>0</v>
      </c>
      <c r="AR32" s="219">
        <f t="shared" si="11"/>
        <v>0</v>
      </c>
      <c r="AS32" s="219">
        <f t="shared" si="11"/>
        <v>0</v>
      </c>
      <c r="AT32" s="219">
        <f t="shared" si="11"/>
        <v>0</v>
      </c>
      <c r="AU32" s="219">
        <f t="shared" si="11"/>
        <v>0</v>
      </c>
      <c r="AV32" s="219">
        <f t="shared" si="11"/>
        <v>0</v>
      </c>
      <c r="AW32" s="219">
        <f t="shared" si="11"/>
        <v>0</v>
      </c>
      <c r="AX32" s="219">
        <f t="shared" si="11"/>
        <v>0</v>
      </c>
      <c r="AY32" s="219">
        <f t="shared" si="11"/>
        <v>0</v>
      </c>
      <c r="AZ32" s="219">
        <f t="shared" si="11"/>
        <v>0</v>
      </c>
      <c r="BA32" s="219">
        <f t="shared" si="11"/>
        <v>0</v>
      </c>
      <c r="BB32" s="219">
        <f t="shared" si="11"/>
        <v>0</v>
      </c>
      <c r="BC32" s="219">
        <f t="shared" si="11"/>
        <v>0</v>
      </c>
      <c r="BD32" s="219">
        <f t="shared" si="11"/>
        <v>0</v>
      </c>
      <c r="BE32" s="219">
        <f>BE16+BE23-BE31</f>
        <v>0</v>
      </c>
      <c r="BF32" s="219">
        <f t="shared" si="11"/>
        <v>0</v>
      </c>
      <c r="BG32" s="219">
        <f t="shared" si="11"/>
        <v>0</v>
      </c>
      <c r="BH32" s="219">
        <f t="shared" si="11"/>
        <v>0</v>
      </c>
    </row>
    <row r="33" ht="29.25" customHeight="1"/>
    <row r="34" spans="2:3" ht="15">
      <c r="B34" s="266" t="s">
        <v>218</v>
      </c>
      <c r="C34" s="267"/>
    </row>
    <row r="35" spans="2:3" ht="12.75">
      <c r="B35" s="268"/>
      <c r="C35" s="269"/>
    </row>
    <row r="36" spans="2:3" ht="12.75">
      <c r="B36" s="101" t="s">
        <v>134</v>
      </c>
      <c r="C36" s="176"/>
    </row>
    <row r="37" spans="2:3" ht="12.75">
      <c r="B37" s="101" t="s">
        <v>167</v>
      </c>
      <c r="C37" s="150"/>
    </row>
  </sheetData>
  <sheetProtection/>
  <mergeCells count="1">
    <mergeCell ref="F7:BH7"/>
  </mergeCells>
  <printOptions/>
  <pageMargins left="0.7480314960629921" right="0.7480314960629921" top="0.984251968503937" bottom="0.984251968503937" header="0.5118110236220472" footer="0.5118110236220472"/>
  <pageSetup fitToHeight="1" fitToWidth="1" horizontalDpi="600" verticalDpi="600" orientation="portrait" paperSize="9" scale="50" r:id="rId4"/>
  <ignoredErrors>
    <ignoredError sqref="E11" formula="1"/>
  </ignoredErrors>
  <drawing r:id="rId3"/>
  <legacyDrawing r:id="rId2"/>
</worksheet>
</file>

<file path=xl/worksheets/sheet15.xml><?xml version="1.0" encoding="utf-8"?>
<worksheet xmlns="http://schemas.openxmlformats.org/spreadsheetml/2006/main" xmlns:r="http://schemas.openxmlformats.org/officeDocument/2006/relationships">
  <sheetPr>
    <tabColor rgb="FF92D050"/>
    <pageSetUpPr fitToPage="1"/>
  </sheetPr>
  <dimension ref="B1:E34"/>
  <sheetViews>
    <sheetView zoomScale="80" zoomScaleNormal="80" zoomScalePageLayoutView="0" workbookViewId="0" topLeftCell="A1">
      <selection activeCell="A1" sqref="A1"/>
    </sheetView>
  </sheetViews>
  <sheetFormatPr defaultColWidth="9.140625" defaultRowHeight="12.75"/>
  <cols>
    <col min="1" max="1" width="12.140625" style="82" customWidth="1"/>
    <col min="2" max="2" width="21.00390625" style="82" customWidth="1"/>
    <col min="3" max="3" width="64.421875" style="82" customWidth="1"/>
    <col min="4" max="5" width="42.28125" style="82" customWidth="1"/>
    <col min="6" max="6" width="9.421875" style="82" customWidth="1"/>
    <col min="7" max="7" width="25.140625" style="82" customWidth="1"/>
    <col min="8" max="16384" width="9.140625" style="82" customWidth="1"/>
  </cols>
  <sheetData>
    <row r="1" spans="2:5" ht="21">
      <c r="B1" s="397" t="s">
        <v>199</v>
      </c>
      <c r="C1" s="397"/>
      <c r="D1" s="39"/>
      <c r="E1" s="39"/>
    </row>
    <row r="2" spans="2:5" ht="21">
      <c r="B2" s="151" t="str">
        <f>Tradingname</f>
        <v>EAST AUSTRALIAN PIPELINE PTY LIMITED</v>
      </c>
      <c r="C2" s="152"/>
      <c r="D2" s="83"/>
      <c r="E2" s="83"/>
    </row>
    <row r="3" spans="2:5" ht="15.75" customHeight="1">
      <c r="B3" s="153" t="s">
        <v>180</v>
      </c>
      <c r="C3" s="154">
        <f>Yearending</f>
        <v>44377</v>
      </c>
      <c r="E3" s="114"/>
    </row>
    <row r="4" ht="21">
      <c r="B4" s="38"/>
    </row>
    <row r="5" spans="2:5" ht="15">
      <c r="B5" s="86" t="s">
        <v>221</v>
      </c>
      <c r="C5" s="84"/>
      <c r="D5" s="84"/>
      <c r="E5" s="84"/>
    </row>
    <row r="6" spans="2:5" ht="15">
      <c r="B6" s="86"/>
      <c r="C6" s="84"/>
      <c r="D6" s="84"/>
      <c r="E6" s="84"/>
    </row>
    <row r="7" spans="2:5" ht="26.25">
      <c r="B7" s="87" t="s">
        <v>219</v>
      </c>
      <c r="C7" s="87" t="s">
        <v>171</v>
      </c>
      <c r="D7" s="87" t="s">
        <v>172</v>
      </c>
      <c r="E7" s="87" t="s">
        <v>208</v>
      </c>
    </row>
    <row r="8" spans="2:5" ht="12.75">
      <c r="B8" s="271"/>
      <c r="C8" s="272"/>
      <c r="D8" s="273"/>
      <c r="E8" s="274"/>
    </row>
    <row r="9" spans="2:5" ht="12.75">
      <c r="B9" s="271"/>
      <c r="C9" s="272"/>
      <c r="D9" s="273"/>
      <c r="E9" s="274"/>
    </row>
    <row r="10" spans="2:5" ht="12.75">
      <c r="B10" s="271"/>
      <c r="C10" s="272"/>
      <c r="D10" s="273"/>
      <c r="E10" s="274"/>
    </row>
    <row r="11" spans="2:5" ht="12.75">
      <c r="B11" s="271"/>
      <c r="C11" s="272"/>
      <c r="D11" s="273"/>
      <c r="E11" s="274"/>
    </row>
    <row r="12" spans="2:5" ht="12.75">
      <c r="B12" s="271"/>
      <c r="C12" s="272"/>
      <c r="D12" s="273"/>
      <c r="E12" s="274"/>
    </row>
    <row r="13" spans="2:5" ht="12.75">
      <c r="B13" s="271"/>
      <c r="C13" s="91"/>
      <c r="D13" s="273"/>
      <c r="E13" s="275"/>
    </row>
    <row r="14" spans="2:5" ht="12.75">
      <c r="B14" s="91"/>
      <c r="C14" s="91"/>
      <c r="D14" s="91"/>
      <c r="E14" s="260"/>
    </row>
    <row r="15" spans="2:5" ht="12.75">
      <c r="B15" s="91"/>
      <c r="C15" s="91"/>
      <c r="D15" s="91"/>
      <c r="E15" s="260"/>
    </row>
    <row r="16" spans="2:5" ht="12.75">
      <c r="B16" s="91"/>
      <c r="C16" s="91"/>
      <c r="D16" s="91"/>
      <c r="E16" s="260"/>
    </row>
    <row r="17" spans="2:5" ht="12.75">
      <c r="B17" s="91"/>
      <c r="C17" s="91"/>
      <c r="D17" s="91"/>
      <c r="E17" s="260"/>
    </row>
    <row r="18" spans="2:5" ht="12.75">
      <c r="B18" s="91"/>
      <c r="C18" s="91"/>
      <c r="D18" s="91"/>
      <c r="E18" s="260"/>
    </row>
    <row r="19" spans="2:5" ht="12.75">
      <c r="B19" s="91"/>
      <c r="C19" s="91"/>
      <c r="D19" s="91"/>
      <c r="E19" s="260"/>
    </row>
    <row r="20" spans="2:5" ht="12.75">
      <c r="B20" s="91"/>
      <c r="C20" s="91"/>
      <c r="D20" s="91"/>
      <c r="E20" s="260"/>
    </row>
    <row r="21" spans="2:5" ht="12.75">
      <c r="B21" s="91"/>
      <c r="C21" s="91"/>
      <c r="D21" s="91"/>
      <c r="E21" s="260"/>
    </row>
    <row r="22" spans="2:5" ht="12.75">
      <c r="B22" s="91"/>
      <c r="C22" s="91"/>
      <c r="D22" s="91"/>
      <c r="E22" s="260"/>
    </row>
    <row r="23" spans="2:5" ht="12.75">
      <c r="B23" s="91"/>
      <c r="C23" s="91"/>
      <c r="D23" s="91"/>
      <c r="E23" s="260"/>
    </row>
    <row r="24" spans="2:5" ht="12.75">
      <c r="B24" s="91"/>
      <c r="C24" s="91"/>
      <c r="D24" s="91"/>
      <c r="E24" s="260"/>
    </row>
    <row r="25" spans="2:5" ht="12.75">
      <c r="B25" s="91"/>
      <c r="C25" s="91"/>
      <c r="D25" s="91"/>
      <c r="E25" s="260"/>
    </row>
    <row r="26" spans="2:5" ht="12.75">
      <c r="B26" s="91"/>
      <c r="C26" s="91"/>
      <c r="D26" s="91"/>
      <c r="E26" s="260"/>
    </row>
    <row r="27" spans="2:5" ht="12.75">
      <c r="B27" s="91"/>
      <c r="C27" s="91"/>
      <c r="D27" s="91"/>
      <c r="E27" s="260"/>
    </row>
    <row r="28" spans="2:5" ht="12.75">
      <c r="B28" s="91"/>
      <c r="C28" s="91"/>
      <c r="D28" s="91"/>
      <c r="E28" s="260"/>
    </row>
    <row r="29" spans="2:5" ht="12.75">
      <c r="B29" s="91"/>
      <c r="C29" s="91"/>
      <c r="D29" s="91"/>
      <c r="E29" s="260"/>
    </row>
    <row r="30" spans="2:5" ht="12.75">
      <c r="B30" s="91"/>
      <c r="C30" s="91"/>
      <c r="D30" s="91"/>
      <c r="E30" s="260"/>
    </row>
    <row r="31" spans="2:5" ht="12.75">
      <c r="B31" s="91"/>
      <c r="C31" s="91"/>
      <c r="D31" s="91"/>
      <c r="E31" s="260"/>
    </row>
    <row r="32" spans="2:5" ht="12.75">
      <c r="B32" s="91"/>
      <c r="C32" s="91"/>
      <c r="D32" s="91"/>
      <c r="E32" s="260"/>
    </row>
    <row r="33" spans="2:5" ht="12.75">
      <c r="B33" s="91"/>
      <c r="C33" s="91"/>
      <c r="D33" s="91"/>
      <c r="E33" s="260"/>
    </row>
    <row r="34" spans="2:5" ht="12.75">
      <c r="B34" s="91"/>
      <c r="C34" s="91"/>
      <c r="D34" s="91"/>
      <c r="E34" s="260"/>
    </row>
  </sheetData>
  <sheetProtection/>
  <mergeCells count="1">
    <mergeCell ref="B1:C1"/>
  </mergeCells>
  <printOptions/>
  <pageMargins left="0.7480314960629921" right="0.7480314960629921" top="0.984251968503937" bottom="0.984251968503937" header="0.5118110236220472" footer="0.5118110236220472"/>
  <pageSetup fitToHeight="1" fitToWidth="1" horizontalDpi="600" verticalDpi="600" orientation="portrait" paperSize="9" scale="46" r:id="rId2"/>
  <drawing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B1:BH111"/>
  <sheetViews>
    <sheetView zoomScale="80" zoomScaleNormal="80" zoomScalePageLayoutView="0" workbookViewId="0" topLeftCell="A1">
      <selection activeCell="A1" sqref="A1"/>
    </sheetView>
  </sheetViews>
  <sheetFormatPr defaultColWidth="9.140625" defaultRowHeight="12.75"/>
  <cols>
    <col min="1" max="1" width="11.7109375" style="40" customWidth="1"/>
    <col min="2" max="2" width="54.28125" style="40" bestFit="1" customWidth="1"/>
    <col min="3" max="3" width="14.28125" style="40" customWidth="1"/>
    <col min="4" max="4" width="15.57421875" style="40" bestFit="1" customWidth="1"/>
    <col min="5" max="5" width="10.8515625" style="40" customWidth="1"/>
    <col min="6" max="16384" width="9.140625" style="40" customWidth="1"/>
  </cols>
  <sheetData>
    <row r="1" spans="2:4" ht="21">
      <c r="B1" s="400" t="s">
        <v>200</v>
      </c>
      <c r="C1" s="400"/>
      <c r="D1" s="420"/>
    </row>
    <row r="3" ht="21">
      <c r="B3" s="38"/>
    </row>
    <row r="5" spans="2:4" ht="15">
      <c r="B5" s="391" t="s">
        <v>203</v>
      </c>
      <c r="C5" s="391"/>
      <c r="D5" s="391"/>
    </row>
    <row r="7" spans="2:60" s="59" customFormat="1" ht="12.75">
      <c r="B7" s="87"/>
      <c r="C7" s="87"/>
      <c r="D7" s="412" t="s">
        <v>98</v>
      </c>
      <c r="E7" s="413"/>
      <c r="F7" s="413"/>
      <c r="G7" s="413"/>
      <c r="H7" s="413"/>
      <c r="I7" s="413"/>
      <c r="J7" s="406" t="s">
        <v>99</v>
      </c>
      <c r="K7" s="407"/>
      <c r="L7" s="407"/>
      <c r="M7" s="407"/>
      <c r="N7" s="407"/>
      <c r="O7" s="407"/>
      <c r="P7" s="408"/>
      <c r="Q7" s="421" t="s">
        <v>100</v>
      </c>
      <c r="R7" s="421"/>
      <c r="S7" s="421"/>
      <c r="T7" s="421"/>
      <c r="U7" s="421"/>
      <c r="V7" s="421"/>
      <c r="W7" s="421"/>
      <c r="X7" s="421"/>
      <c r="Y7" s="421"/>
      <c r="Z7" s="421"/>
      <c r="AA7" s="421"/>
      <c r="AB7" s="421"/>
      <c r="AC7" s="421"/>
      <c r="AD7" s="421"/>
      <c r="AE7" s="421"/>
      <c r="AF7" s="421"/>
      <c r="AG7" s="421"/>
      <c r="AH7" s="421"/>
      <c r="AI7" s="421"/>
      <c r="AJ7" s="419" t="s">
        <v>101</v>
      </c>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row>
    <row r="8" spans="2:60" s="47" customFormat="1" ht="26.25" customHeight="1">
      <c r="B8" s="87"/>
      <c r="C8" s="87"/>
      <c r="D8" s="87"/>
      <c r="E8" s="87"/>
      <c r="F8" s="87"/>
      <c r="G8" s="87"/>
      <c r="H8" s="87"/>
      <c r="I8" s="87"/>
      <c r="J8" s="87"/>
      <c r="K8" s="87"/>
      <c r="L8" s="87"/>
      <c r="M8" s="87"/>
      <c r="N8" s="87"/>
      <c r="O8" s="87"/>
      <c r="P8" s="87"/>
      <c r="Q8" s="87"/>
      <c r="R8" s="415" t="s">
        <v>434</v>
      </c>
      <c r="S8" s="416"/>
      <c r="T8" s="416"/>
      <c r="U8" s="416"/>
      <c r="V8" s="416"/>
      <c r="W8" s="417"/>
      <c r="X8" s="415" t="s">
        <v>435</v>
      </c>
      <c r="Y8" s="416"/>
      <c r="Z8" s="416"/>
      <c r="AA8" s="416"/>
      <c r="AB8" s="416"/>
      <c r="AC8" s="417"/>
      <c r="AD8" s="415" t="s">
        <v>436</v>
      </c>
      <c r="AE8" s="416"/>
      <c r="AF8" s="416"/>
      <c r="AG8" s="416"/>
      <c r="AH8" s="417"/>
      <c r="AI8" s="87"/>
      <c r="AJ8" s="87"/>
      <c r="AK8" s="415" t="s">
        <v>102</v>
      </c>
      <c r="AL8" s="416"/>
      <c r="AM8" s="416"/>
      <c r="AN8" s="416"/>
      <c r="AO8" s="416"/>
      <c r="AP8" s="417"/>
      <c r="AQ8" s="415" t="s">
        <v>103</v>
      </c>
      <c r="AR8" s="416"/>
      <c r="AS8" s="416"/>
      <c r="AT8" s="416"/>
      <c r="AU8" s="416"/>
      <c r="AV8" s="417"/>
      <c r="AW8" s="415" t="s">
        <v>104</v>
      </c>
      <c r="AX8" s="416"/>
      <c r="AY8" s="416"/>
      <c r="AZ8" s="416"/>
      <c r="BA8" s="416"/>
      <c r="BB8" s="417"/>
      <c r="BC8" s="415" t="s">
        <v>105</v>
      </c>
      <c r="BD8" s="416"/>
      <c r="BE8" s="416"/>
      <c r="BF8" s="416"/>
      <c r="BG8" s="416"/>
      <c r="BH8" s="417"/>
    </row>
    <row r="9" spans="2:60" s="47" customFormat="1" ht="32.25" customHeight="1">
      <c r="B9" s="87"/>
      <c r="C9" s="87" t="s">
        <v>22</v>
      </c>
      <c r="D9" s="410" t="s">
        <v>106</v>
      </c>
      <c r="E9" s="411"/>
      <c r="F9" s="411"/>
      <c r="G9" s="409" t="s">
        <v>107</v>
      </c>
      <c r="H9" s="409"/>
      <c r="I9" s="409"/>
      <c r="J9" s="115" t="s">
        <v>108</v>
      </c>
      <c r="K9" s="418" t="s">
        <v>93</v>
      </c>
      <c r="L9" s="418"/>
      <c r="M9" s="418"/>
      <c r="N9" s="414" t="s">
        <v>94</v>
      </c>
      <c r="O9" s="414"/>
      <c r="P9" s="414"/>
      <c r="Q9" s="115" t="s">
        <v>109</v>
      </c>
      <c r="R9" s="418" t="s">
        <v>93</v>
      </c>
      <c r="S9" s="418"/>
      <c r="T9" s="418"/>
      <c r="U9" s="414" t="s">
        <v>94</v>
      </c>
      <c r="V9" s="414"/>
      <c r="W9" s="414"/>
      <c r="X9" s="418" t="s">
        <v>93</v>
      </c>
      <c r="Y9" s="418"/>
      <c r="Z9" s="418"/>
      <c r="AA9" s="414" t="s">
        <v>94</v>
      </c>
      <c r="AB9" s="414"/>
      <c r="AC9" s="414"/>
      <c r="AD9" s="418" t="s">
        <v>93</v>
      </c>
      <c r="AE9" s="418"/>
      <c r="AF9" s="418"/>
      <c r="AG9" s="414" t="s">
        <v>94</v>
      </c>
      <c r="AH9" s="414"/>
      <c r="AI9" s="414"/>
      <c r="AJ9" s="115" t="s">
        <v>110</v>
      </c>
      <c r="AK9" s="418" t="s">
        <v>93</v>
      </c>
      <c r="AL9" s="418"/>
      <c r="AM9" s="418"/>
      <c r="AN9" s="414" t="s">
        <v>94</v>
      </c>
      <c r="AO9" s="414"/>
      <c r="AP9" s="414"/>
      <c r="AQ9" s="418" t="s">
        <v>93</v>
      </c>
      <c r="AR9" s="418"/>
      <c r="AS9" s="418"/>
      <c r="AT9" s="414" t="s">
        <v>94</v>
      </c>
      <c r="AU9" s="414"/>
      <c r="AV9" s="414"/>
      <c r="AW9" s="418" t="s">
        <v>93</v>
      </c>
      <c r="AX9" s="418"/>
      <c r="AY9" s="418"/>
      <c r="AZ9" s="414" t="s">
        <v>94</v>
      </c>
      <c r="BA9" s="414"/>
      <c r="BB9" s="414"/>
      <c r="BC9" s="116" t="s">
        <v>93</v>
      </c>
      <c r="BD9" s="116"/>
      <c r="BE9" s="116"/>
      <c r="BF9" s="117" t="s">
        <v>94</v>
      </c>
      <c r="BG9" s="117"/>
      <c r="BH9" s="117"/>
    </row>
    <row r="10" spans="2:60" s="47" customFormat="1" ht="32.25" customHeight="1">
      <c r="B10" s="87" t="s">
        <v>32</v>
      </c>
      <c r="C10" s="87" t="s">
        <v>175</v>
      </c>
      <c r="D10" s="87" t="s">
        <v>111</v>
      </c>
      <c r="E10" s="87" t="s">
        <v>112</v>
      </c>
      <c r="F10" s="87" t="s">
        <v>113</v>
      </c>
      <c r="G10" s="87" t="s">
        <v>111</v>
      </c>
      <c r="H10" s="87" t="s">
        <v>176</v>
      </c>
      <c r="I10" s="87" t="s">
        <v>114</v>
      </c>
      <c r="J10" s="87" t="s">
        <v>204</v>
      </c>
      <c r="K10" s="87" t="s">
        <v>111</v>
      </c>
      <c r="L10" s="87" t="s">
        <v>112</v>
      </c>
      <c r="M10" s="87" t="s">
        <v>113</v>
      </c>
      <c r="N10" s="87" t="s">
        <v>111</v>
      </c>
      <c r="O10" s="87" t="s">
        <v>176</v>
      </c>
      <c r="P10" s="87" t="s">
        <v>114</v>
      </c>
      <c r="Q10" s="87" t="s">
        <v>204</v>
      </c>
      <c r="R10" s="87" t="s">
        <v>111</v>
      </c>
      <c r="S10" s="87" t="s">
        <v>112</v>
      </c>
      <c r="T10" s="87" t="s">
        <v>113</v>
      </c>
      <c r="U10" s="87" t="s">
        <v>111</v>
      </c>
      <c r="V10" s="87" t="s">
        <v>176</v>
      </c>
      <c r="W10" s="87" t="s">
        <v>114</v>
      </c>
      <c r="X10" s="87" t="s">
        <v>111</v>
      </c>
      <c r="Y10" s="87" t="s">
        <v>112</v>
      </c>
      <c r="Z10" s="87" t="s">
        <v>113</v>
      </c>
      <c r="AA10" s="87" t="s">
        <v>111</v>
      </c>
      <c r="AB10" s="87" t="s">
        <v>176</v>
      </c>
      <c r="AC10" s="87" t="s">
        <v>114</v>
      </c>
      <c r="AD10" s="87" t="s">
        <v>111</v>
      </c>
      <c r="AE10" s="87" t="s">
        <v>112</v>
      </c>
      <c r="AF10" s="87" t="s">
        <v>113</v>
      </c>
      <c r="AG10" s="87" t="s">
        <v>111</v>
      </c>
      <c r="AH10" s="87" t="s">
        <v>176</v>
      </c>
      <c r="AI10" s="87" t="s">
        <v>114</v>
      </c>
      <c r="AJ10" s="87" t="s">
        <v>175</v>
      </c>
      <c r="AK10" s="87" t="s">
        <v>111</v>
      </c>
      <c r="AL10" s="87" t="s">
        <v>112</v>
      </c>
      <c r="AM10" s="87" t="s">
        <v>113</v>
      </c>
      <c r="AN10" s="87" t="s">
        <v>111</v>
      </c>
      <c r="AO10" s="87" t="s">
        <v>176</v>
      </c>
      <c r="AP10" s="87" t="s">
        <v>114</v>
      </c>
      <c r="AQ10" s="87" t="s">
        <v>111</v>
      </c>
      <c r="AR10" s="87" t="s">
        <v>112</v>
      </c>
      <c r="AS10" s="87" t="s">
        <v>113</v>
      </c>
      <c r="AT10" s="87" t="s">
        <v>111</v>
      </c>
      <c r="AU10" s="87" t="s">
        <v>176</v>
      </c>
      <c r="AV10" s="87" t="s">
        <v>114</v>
      </c>
      <c r="AW10" s="87" t="s">
        <v>111</v>
      </c>
      <c r="AX10" s="87" t="s">
        <v>112</v>
      </c>
      <c r="AY10" s="87" t="s">
        <v>113</v>
      </c>
      <c r="AZ10" s="87" t="s">
        <v>111</v>
      </c>
      <c r="BA10" s="87" t="s">
        <v>176</v>
      </c>
      <c r="BB10" s="87" t="s">
        <v>114</v>
      </c>
      <c r="BC10" s="87" t="s">
        <v>111</v>
      </c>
      <c r="BD10" s="87" t="s">
        <v>112</v>
      </c>
      <c r="BE10" s="87" t="s">
        <v>113</v>
      </c>
      <c r="BF10" s="87" t="s">
        <v>111</v>
      </c>
      <c r="BG10" s="87" t="s">
        <v>176</v>
      </c>
      <c r="BH10" s="87" t="s">
        <v>114</v>
      </c>
    </row>
    <row r="11" spans="2:60" s="47" customFormat="1" ht="12.75">
      <c r="B11" s="118" t="s">
        <v>33</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row>
    <row r="12" spans="2:60" s="47" customFormat="1" ht="13.5" customHeight="1">
      <c r="B12" s="119" t="s">
        <v>158</v>
      </c>
      <c r="C12" s="216">
        <f>J12+Q12+AJ12</f>
        <v>63781.713737179976</v>
      </c>
      <c r="D12" s="262"/>
      <c r="E12" s="262"/>
      <c r="F12" s="262"/>
      <c r="G12" s="262"/>
      <c r="H12" s="262"/>
      <c r="I12" s="262"/>
      <c r="J12" s="216">
        <f>K12+N12</f>
        <v>0</v>
      </c>
      <c r="K12" s="252">
        <v>0</v>
      </c>
      <c r="L12" s="252">
        <v>0</v>
      </c>
      <c r="M12" s="216">
        <f>_xlfn.IFERROR(K12/L12,0)</f>
        <v>0</v>
      </c>
      <c r="N12" s="252">
        <v>0</v>
      </c>
      <c r="O12" s="252">
        <v>0</v>
      </c>
      <c r="P12" s="216">
        <f>_xlfn.IFERROR(N12/O12,0)</f>
        <v>0</v>
      </c>
      <c r="Q12" s="216">
        <f>R12+U12+X12+AA12+AD12+AG12</f>
        <v>63781.713737179976</v>
      </c>
      <c r="R12" s="252">
        <v>61433.46788939998</v>
      </c>
      <c r="S12" s="252">
        <v>73400.0665607191</v>
      </c>
      <c r="T12" s="288">
        <f>_xlfn.IFERROR(R12/S12,0)</f>
        <v>0.8369674683956869</v>
      </c>
      <c r="U12" s="252">
        <v>220.24787777999998</v>
      </c>
      <c r="V12" s="226">
        <v>183.15359999999998</v>
      </c>
      <c r="W12" s="342">
        <f>_xlfn.IFERROR(U12/V12,0)</f>
        <v>1.2025309782608695</v>
      </c>
      <c r="X12" s="252">
        <v>0</v>
      </c>
      <c r="Y12" s="252">
        <v>0</v>
      </c>
      <c r="Z12" s="216">
        <f>_xlfn.IFERROR(X12/Y12,0)</f>
        <v>0</v>
      </c>
      <c r="AA12" s="252">
        <v>0</v>
      </c>
      <c r="AB12" s="252">
        <v>0</v>
      </c>
      <c r="AC12" s="216">
        <f>_xlfn.IFERROR(AA12/AB12,0)</f>
        <v>0</v>
      </c>
      <c r="AD12" s="252">
        <v>2127.997969999999</v>
      </c>
      <c r="AE12" s="252">
        <v>4898.815909332278</v>
      </c>
      <c r="AF12" s="288">
        <f>_xlfn.IFERROR(AD12/AE12,0)</f>
        <v>0.43439027091141513</v>
      </c>
      <c r="AG12" s="252">
        <v>0</v>
      </c>
      <c r="AH12" s="252">
        <v>0</v>
      </c>
      <c r="AI12" s="216">
        <f>_xlfn.IFERROR(AG12/AH12,0)</f>
        <v>0</v>
      </c>
      <c r="AJ12" s="216">
        <f>AK12+AN12+AQ12+AT12+AW12+AZ12+BC12+BF12</f>
        <v>0</v>
      </c>
      <c r="AK12" s="252">
        <v>0</v>
      </c>
      <c r="AL12" s="252">
        <v>0</v>
      </c>
      <c r="AM12" s="216">
        <f>_xlfn.IFERROR(AK12/AL12,0)</f>
        <v>0</v>
      </c>
      <c r="AN12" s="252">
        <v>0</v>
      </c>
      <c r="AO12" s="252">
        <v>0</v>
      </c>
      <c r="AP12" s="216">
        <f>_xlfn.IFERROR(AN12/AO12,0)</f>
        <v>0</v>
      </c>
      <c r="AQ12" s="252">
        <v>0</v>
      </c>
      <c r="AR12" s="252">
        <v>0</v>
      </c>
      <c r="AS12" s="216">
        <f>_xlfn.IFERROR(AQ12/AR12,0)</f>
        <v>0</v>
      </c>
      <c r="AT12" s="252">
        <v>0</v>
      </c>
      <c r="AU12" s="252">
        <v>0</v>
      </c>
      <c r="AV12" s="216">
        <f>_xlfn.IFERROR(AT12/AU12,0)</f>
        <v>0</v>
      </c>
      <c r="AW12" s="252">
        <v>0</v>
      </c>
      <c r="AX12" s="252">
        <v>0</v>
      </c>
      <c r="AY12" s="216">
        <f>_xlfn.IFERROR(AW12/AX12,0)</f>
        <v>0</v>
      </c>
      <c r="AZ12" s="252">
        <v>0</v>
      </c>
      <c r="BA12" s="252">
        <v>0</v>
      </c>
      <c r="BB12" s="216">
        <f>_xlfn.IFERROR(AZ12/BA12,0)</f>
        <v>0</v>
      </c>
      <c r="BC12" s="252">
        <v>0</v>
      </c>
      <c r="BD12" s="252">
        <v>0</v>
      </c>
      <c r="BE12" s="216">
        <f>_xlfn.IFERROR(BC12/BD12,0)</f>
        <v>0</v>
      </c>
      <c r="BF12" s="252">
        <v>0</v>
      </c>
      <c r="BG12" s="252">
        <v>0</v>
      </c>
      <c r="BH12" s="216">
        <f>_xlfn.IFERROR(BF12/BG12,0)</f>
        <v>0</v>
      </c>
    </row>
    <row r="13" spans="2:60" s="47" customFormat="1" ht="13.5" customHeight="1">
      <c r="B13" s="119" t="s">
        <v>202</v>
      </c>
      <c r="C13" s="216">
        <f>J13+Q13+AJ13</f>
        <v>357.82802000000004</v>
      </c>
      <c r="D13" s="262"/>
      <c r="E13" s="262"/>
      <c r="F13" s="262"/>
      <c r="G13" s="262"/>
      <c r="H13" s="262"/>
      <c r="I13" s="262"/>
      <c r="J13" s="216">
        <f>K13+N13</f>
        <v>0</v>
      </c>
      <c r="K13" s="252">
        <v>0</v>
      </c>
      <c r="L13" s="252">
        <v>0</v>
      </c>
      <c r="M13" s="216">
        <f>_xlfn.IFERROR(K13/L13,0)</f>
        <v>0</v>
      </c>
      <c r="N13" s="252">
        <v>0</v>
      </c>
      <c r="O13" s="252">
        <v>0</v>
      </c>
      <c r="P13" s="216">
        <f>_xlfn.IFERROR(N13/O13,0)</f>
        <v>0</v>
      </c>
      <c r="Q13" s="216">
        <f>R13+U13+X13+AA13+AD13+AG13</f>
        <v>357.82802000000004</v>
      </c>
      <c r="R13" s="252">
        <v>0</v>
      </c>
      <c r="S13" s="252">
        <v>0</v>
      </c>
      <c r="T13" s="216">
        <f>_xlfn.IFERROR(R13/S13,0)</f>
        <v>0</v>
      </c>
      <c r="U13" s="252">
        <v>353.04326000000003</v>
      </c>
      <c r="V13" s="252">
        <v>345.911414690124</v>
      </c>
      <c r="W13" s="288">
        <f>_xlfn.IFERROR(U13/V13,0)</f>
        <v>1.0206175483288544</v>
      </c>
      <c r="X13" s="252">
        <v>0</v>
      </c>
      <c r="Y13" s="252">
        <v>0</v>
      </c>
      <c r="Z13" s="216">
        <f>_xlfn.IFERROR(X13/Y13,0)</f>
        <v>0</v>
      </c>
      <c r="AA13" s="252">
        <v>0</v>
      </c>
      <c r="AB13" s="252">
        <v>0</v>
      </c>
      <c r="AC13" s="216">
        <f>_xlfn.IFERROR(AA13/AB13,0)</f>
        <v>0</v>
      </c>
      <c r="AD13" s="252">
        <v>0</v>
      </c>
      <c r="AE13" s="252">
        <v>0</v>
      </c>
      <c r="AF13" s="216">
        <f>_xlfn.IFERROR(AD13/AE13,0)</f>
        <v>0</v>
      </c>
      <c r="AG13" s="252">
        <v>4.78476</v>
      </c>
      <c r="AH13" s="252">
        <v>9.377</v>
      </c>
      <c r="AI13" s="288">
        <f>_xlfn.IFERROR(AG13/AH13,0)</f>
        <v>0.5102655433507518</v>
      </c>
      <c r="AJ13" s="216">
        <f>AK13+AN13+AQ13+AT13+AW13+AZ13+BC13+BF13</f>
        <v>0</v>
      </c>
      <c r="AK13" s="252">
        <v>0</v>
      </c>
      <c r="AL13" s="252">
        <v>0</v>
      </c>
      <c r="AM13" s="216">
        <f>_xlfn.IFERROR(AK13/AL13,0)</f>
        <v>0</v>
      </c>
      <c r="AN13" s="252">
        <v>0</v>
      </c>
      <c r="AO13" s="252">
        <v>0</v>
      </c>
      <c r="AP13" s="216">
        <f>_xlfn.IFERROR(AN13/AO13,0)</f>
        <v>0</v>
      </c>
      <c r="AQ13" s="252">
        <v>0</v>
      </c>
      <c r="AR13" s="252">
        <v>0</v>
      </c>
      <c r="AS13" s="216">
        <f>_xlfn.IFERROR(AQ13/AR13,0)</f>
        <v>0</v>
      </c>
      <c r="AT13" s="252">
        <v>0</v>
      </c>
      <c r="AU13" s="252">
        <v>0</v>
      </c>
      <c r="AV13" s="216">
        <f>_xlfn.IFERROR(AT13/AU13,0)</f>
        <v>0</v>
      </c>
      <c r="AW13" s="252">
        <v>0</v>
      </c>
      <c r="AX13" s="252">
        <v>0</v>
      </c>
      <c r="AY13" s="216">
        <f>_xlfn.IFERROR(AW13/AX13,0)</f>
        <v>0</v>
      </c>
      <c r="AZ13" s="252">
        <v>0</v>
      </c>
      <c r="BA13" s="252">
        <v>0</v>
      </c>
      <c r="BB13" s="216">
        <f>_xlfn.IFERROR(AZ13/BA13,0)</f>
        <v>0</v>
      </c>
      <c r="BC13" s="252">
        <v>0</v>
      </c>
      <c r="BD13" s="252">
        <v>0</v>
      </c>
      <c r="BE13" s="216">
        <f>_xlfn.IFERROR(BC13/BD13,0)</f>
        <v>0</v>
      </c>
      <c r="BF13" s="252">
        <v>0</v>
      </c>
      <c r="BG13" s="252">
        <v>0</v>
      </c>
      <c r="BH13" s="216">
        <f>_xlfn.IFERROR(BF13/BG13,0)</f>
        <v>0</v>
      </c>
    </row>
    <row r="14" spans="2:60" s="47" customFormat="1" ht="13.5" customHeight="1">
      <c r="B14" s="119" t="s">
        <v>36</v>
      </c>
      <c r="C14" s="216">
        <f>J14+Q14+AJ14</f>
        <v>0</v>
      </c>
      <c r="D14" s="262"/>
      <c r="E14" s="262"/>
      <c r="F14" s="262"/>
      <c r="G14" s="262"/>
      <c r="H14" s="262"/>
      <c r="I14" s="262"/>
      <c r="J14" s="216">
        <f>K14+N14</f>
        <v>0</v>
      </c>
      <c r="K14" s="252">
        <v>0</v>
      </c>
      <c r="L14" s="252">
        <v>0</v>
      </c>
      <c r="M14" s="216">
        <f>_xlfn.IFERROR(K14/L14,0)</f>
        <v>0</v>
      </c>
      <c r="N14" s="252">
        <v>0</v>
      </c>
      <c r="O14" s="252">
        <v>0</v>
      </c>
      <c r="P14" s="216">
        <f>_xlfn.IFERROR(N14/O14,0)</f>
        <v>0</v>
      </c>
      <c r="Q14" s="216">
        <f>R14+U14+X14+AA14+AD14+AG14</f>
        <v>0</v>
      </c>
      <c r="R14" s="252">
        <v>0</v>
      </c>
      <c r="S14" s="252">
        <v>0</v>
      </c>
      <c r="T14" s="216">
        <f>_xlfn.IFERROR(R14/S14,0)</f>
        <v>0</v>
      </c>
      <c r="U14" s="252">
        <v>0</v>
      </c>
      <c r="V14" s="252">
        <v>0</v>
      </c>
      <c r="W14" s="216">
        <f>_xlfn.IFERROR(U14/V14,0)</f>
        <v>0</v>
      </c>
      <c r="X14" s="252">
        <v>0</v>
      </c>
      <c r="Y14" s="252">
        <v>0</v>
      </c>
      <c r="Z14" s="216">
        <f>_xlfn.IFERROR(X14/Y14,0)</f>
        <v>0</v>
      </c>
      <c r="AA14" s="252">
        <v>0</v>
      </c>
      <c r="AB14" s="252">
        <v>0</v>
      </c>
      <c r="AC14" s="216">
        <f>_xlfn.IFERROR(AA14/AB14,0)</f>
        <v>0</v>
      </c>
      <c r="AD14" s="252">
        <v>0</v>
      </c>
      <c r="AE14" s="252">
        <v>0</v>
      </c>
      <c r="AF14" s="216">
        <f>_xlfn.IFERROR(AD14/AE14,0)</f>
        <v>0</v>
      </c>
      <c r="AG14" s="252">
        <v>0</v>
      </c>
      <c r="AH14" s="252">
        <v>0</v>
      </c>
      <c r="AI14" s="216">
        <f>_xlfn.IFERROR(AG14/AH14,0)</f>
        <v>0</v>
      </c>
      <c r="AJ14" s="216">
        <f>AK14+AN14+AQ14+AT14+AW14+AZ14+BC14+BF14</f>
        <v>0</v>
      </c>
      <c r="AK14" s="252">
        <v>0</v>
      </c>
      <c r="AL14" s="252">
        <v>0</v>
      </c>
      <c r="AM14" s="216">
        <f>_xlfn.IFERROR(AK14/AL14,0)</f>
        <v>0</v>
      </c>
      <c r="AN14" s="252">
        <v>0</v>
      </c>
      <c r="AO14" s="252">
        <v>0</v>
      </c>
      <c r="AP14" s="216">
        <f>_xlfn.IFERROR(AN14/AO14,0)</f>
        <v>0</v>
      </c>
      <c r="AQ14" s="252">
        <v>0</v>
      </c>
      <c r="AR14" s="252">
        <v>0</v>
      </c>
      <c r="AS14" s="216">
        <f>_xlfn.IFERROR(AQ14/AR14,0)</f>
        <v>0</v>
      </c>
      <c r="AT14" s="252">
        <v>0</v>
      </c>
      <c r="AU14" s="252">
        <v>0</v>
      </c>
      <c r="AV14" s="216">
        <f>_xlfn.IFERROR(AT14/AU14,0)</f>
        <v>0</v>
      </c>
      <c r="AW14" s="252">
        <v>0</v>
      </c>
      <c r="AX14" s="252">
        <v>0</v>
      </c>
      <c r="AY14" s="216">
        <f>_xlfn.IFERROR(AW14/AX14,0)</f>
        <v>0</v>
      </c>
      <c r="AZ14" s="252">
        <v>0</v>
      </c>
      <c r="BA14" s="252">
        <v>0</v>
      </c>
      <c r="BB14" s="216">
        <f>_xlfn.IFERROR(AZ14/BA14,0)</f>
        <v>0</v>
      </c>
      <c r="BC14" s="252">
        <v>0</v>
      </c>
      <c r="BD14" s="252">
        <v>0</v>
      </c>
      <c r="BE14" s="216">
        <f>_xlfn.IFERROR(BC14/BD14,0)</f>
        <v>0</v>
      </c>
      <c r="BF14" s="252">
        <v>0</v>
      </c>
      <c r="BG14" s="252">
        <v>0</v>
      </c>
      <c r="BH14" s="216">
        <f>_xlfn.IFERROR(BF14/BG14,0)</f>
        <v>0</v>
      </c>
    </row>
    <row r="15" spans="2:60" s="47" customFormat="1" ht="38.25" customHeight="1">
      <c r="B15" s="118" t="s">
        <v>224</v>
      </c>
      <c r="C15" s="263"/>
      <c r="D15" s="263"/>
      <c r="E15" s="263"/>
      <c r="F15" s="263"/>
      <c r="G15" s="263"/>
      <c r="H15" s="263"/>
      <c r="I15" s="263"/>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row>
    <row r="16" spans="2:60" s="47" customFormat="1" ht="13.5" customHeight="1">
      <c r="B16" s="119" t="s">
        <v>222</v>
      </c>
      <c r="C16" s="216">
        <f>D16+G16</f>
        <v>0</v>
      </c>
      <c r="D16" s="252">
        <v>0</v>
      </c>
      <c r="E16" s="252">
        <v>0</v>
      </c>
      <c r="F16" s="216">
        <f>_xlfn.IFERROR(D16/E16,0)</f>
        <v>0</v>
      </c>
      <c r="G16" s="252">
        <v>0</v>
      </c>
      <c r="H16" s="252">
        <v>0</v>
      </c>
      <c r="I16" s="216">
        <f>_xlfn.IFERROR(G16/H16,0)</f>
        <v>0</v>
      </c>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row>
    <row r="17" spans="2:60" s="47" customFormat="1" ht="34.5" customHeight="1">
      <c r="B17" s="171" t="s">
        <v>39</v>
      </c>
      <c r="C17" s="263"/>
      <c r="D17" s="263"/>
      <c r="E17" s="263"/>
      <c r="F17" s="263"/>
      <c r="G17" s="263"/>
      <c r="H17" s="263"/>
      <c r="I17" s="263"/>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row>
    <row r="18" spans="2:60" s="47" customFormat="1" ht="13.5" customHeight="1">
      <c r="B18" s="119" t="s">
        <v>223</v>
      </c>
      <c r="C18" s="216">
        <f>D18+G18</f>
        <v>26448.53865495746</v>
      </c>
      <c r="D18" s="252">
        <v>26448.53865495746</v>
      </c>
      <c r="E18" s="252">
        <v>69014.73260606061</v>
      </c>
      <c r="F18" s="288">
        <f>_xlfn.IFERROR(D18/E18,0)</f>
        <v>0.38323032860138695</v>
      </c>
      <c r="G18" s="252">
        <v>0</v>
      </c>
      <c r="H18" s="252">
        <v>0</v>
      </c>
      <c r="I18" s="216">
        <f>_xlfn.IFERROR(G18/H18,0)</f>
        <v>0</v>
      </c>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row>
    <row r="19" spans="2:60" s="47" customFormat="1" ht="27" customHeight="1">
      <c r="B19" s="118" t="s">
        <v>92</v>
      </c>
      <c r="C19" s="216">
        <f>D19+G19</f>
        <v>534.2432500000001</v>
      </c>
      <c r="D19" s="252">
        <v>534.2432500000001</v>
      </c>
      <c r="E19" s="262"/>
      <c r="F19" s="262"/>
      <c r="G19" s="289">
        <v>0</v>
      </c>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row>
    <row r="20" spans="2:60" s="47" customFormat="1" ht="13.5" customHeight="1">
      <c r="B20" s="118" t="s">
        <v>25</v>
      </c>
      <c r="C20" s="217">
        <f>SUM(C12:C19)</f>
        <v>91122.32366213744</v>
      </c>
      <c r="D20" s="217">
        <f>SUM(D12:D19)</f>
        <v>26982.78190495746</v>
      </c>
      <c r="E20" s="217">
        <f>SUM(E12:E19)</f>
        <v>69014.73260606061</v>
      </c>
      <c r="F20" s="217"/>
      <c r="G20" s="295">
        <f>SUM(G12:G19)</f>
        <v>0</v>
      </c>
      <c r="H20" s="217">
        <f>SUM(H12:H19)</f>
        <v>0</v>
      </c>
      <c r="I20" s="217"/>
      <c r="J20" s="217">
        <f>SUM(J12:J19)</f>
        <v>0</v>
      </c>
      <c r="K20" s="217">
        <f>SUM(K12:K19)</f>
        <v>0</v>
      </c>
      <c r="L20" s="217">
        <f>SUM(L12:L19)</f>
        <v>0</v>
      </c>
      <c r="M20" s="217"/>
      <c r="N20" s="217">
        <f>SUM(N12:N19)</f>
        <v>0</v>
      </c>
      <c r="O20" s="217">
        <f>SUM(O12:O19)</f>
        <v>0</v>
      </c>
      <c r="P20" s="217"/>
      <c r="Q20" s="217">
        <f>SUM(Q12:Q19)</f>
        <v>64139.54175717998</v>
      </c>
      <c r="R20" s="217">
        <f>SUM(R12:R19)</f>
        <v>61433.46788939998</v>
      </c>
      <c r="S20" s="217">
        <f>SUM(S12:S19)</f>
        <v>73400.0665607191</v>
      </c>
      <c r="T20" s="217"/>
      <c r="U20" s="217">
        <f>SUM(U12:U19)</f>
        <v>573.29113778</v>
      </c>
      <c r="V20" s="217">
        <f>SUM(V12:V19)</f>
        <v>529.0650146901239</v>
      </c>
      <c r="W20" s="217"/>
      <c r="X20" s="217">
        <f>SUM(X12:X19)</f>
        <v>0</v>
      </c>
      <c r="Y20" s="217">
        <f>SUM(Y12:Y19)</f>
        <v>0</v>
      </c>
      <c r="Z20" s="217"/>
      <c r="AA20" s="217">
        <f>SUM(AA12:AA19)</f>
        <v>0</v>
      </c>
      <c r="AB20" s="217">
        <f>SUM(AB12:AB19)</f>
        <v>0</v>
      </c>
      <c r="AC20" s="217"/>
      <c r="AD20" s="217">
        <f>SUM(AD12:AD19)</f>
        <v>2127.997969999999</v>
      </c>
      <c r="AE20" s="217">
        <f>SUM(AE12:AE19)</f>
        <v>4898.815909332278</v>
      </c>
      <c r="AF20" s="217"/>
      <c r="AG20" s="217">
        <f>SUM(AG12:AG19)</f>
        <v>4.78476</v>
      </c>
      <c r="AH20" s="217">
        <f>SUM(AH12:AH19)</f>
        <v>9.377</v>
      </c>
      <c r="AI20" s="217"/>
      <c r="AJ20" s="217">
        <f>SUM(AJ12:AJ19)</f>
        <v>0</v>
      </c>
      <c r="AK20" s="217">
        <f>SUM(AK12:AK19)</f>
        <v>0</v>
      </c>
      <c r="AL20" s="217">
        <f>SUM(AL12:AL19)</f>
        <v>0</v>
      </c>
      <c r="AM20" s="217"/>
      <c r="AN20" s="217">
        <f>SUM(AN12:AN19)</f>
        <v>0</v>
      </c>
      <c r="AO20" s="217">
        <f>SUM(AO12:AO19)</f>
        <v>0</v>
      </c>
      <c r="AP20" s="217"/>
      <c r="AQ20" s="217">
        <f>SUM(AQ12:AQ19)</f>
        <v>0</v>
      </c>
      <c r="AR20" s="217">
        <f>SUM(AR12:AR19)</f>
        <v>0</v>
      </c>
      <c r="AS20" s="217"/>
      <c r="AT20" s="217">
        <f>SUM(AT12:AT19)</f>
        <v>0</v>
      </c>
      <c r="AU20" s="217">
        <f>SUM(AU12:AU19)</f>
        <v>0</v>
      </c>
      <c r="AV20" s="217"/>
      <c r="AW20" s="217">
        <f>SUM(AW12:AW19)</f>
        <v>0</v>
      </c>
      <c r="AX20" s="217">
        <f>SUM(AX12:AX19)</f>
        <v>0</v>
      </c>
      <c r="AY20" s="217"/>
      <c r="AZ20" s="217">
        <f>SUM(AZ12:AZ19)</f>
        <v>0</v>
      </c>
      <c r="BA20" s="217">
        <f>SUM(BA12:BA19)</f>
        <v>0</v>
      </c>
      <c r="BB20" s="217"/>
      <c r="BC20" s="217">
        <f>SUM(BC12:BC19)</f>
        <v>0</v>
      </c>
      <c r="BD20" s="217">
        <f>SUM(BD12:BD19)</f>
        <v>0</v>
      </c>
      <c r="BE20" s="217"/>
      <c r="BF20" s="217">
        <f>SUM(BF12:BF19)</f>
        <v>0</v>
      </c>
      <c r="BG20" s="217">
        <f>SUM(BG12:BG19)</f>
        <v>0</v>
      </c>
      <c r="BH20" s="217"/>
    </row>
    <row r="21" spans="2:4" ht="12.75">
      <c r="B21" s="47"/>
      <c r="C21" s="47"/>
      <c r="D21" s="47"/>
    </row>
    <row r="22" spans="2:5" ht="26.25">
      <c r="B22" s="290" t="s">
        <v>437</v>
      </c>
      <c r="C22" s="290" t="s">
        <v>438</v>
      </c>
      <c r="D22" s="291" t="s">
        <v>439</v>
      </c>
      <c r="E22" s="291" t="s">
        <v>440</v>
      </c>
    </row>
    <row r="23" spans="2:5" ht="12.75">
      <c r="B23" s="292" t="s">
        <v>441</v>
      </c>
      <c r="C23" s="293">
        <v>51907.78640645178</v>
      </c>
      <c r="D23" s="293">
        <v>53625938.801910006</v>
      </c>
      <c r="E23" s="294">
        <f>+C23/D23</f>
        <v>0.0009679604229996803</v>
      </c>
    </row>
    <row r="24" spans="2:5" ht="12.75">
      <c r="B24" s="292" t="s">
        <v>442</v>
      </c>
      <c r="C24" s="293">
        <v>808.58319</v>
      </c>
      <c r="D24" s="293">
        <v>14713530.780368999</v>
      </c>
      <c r="E24" s="294">
        <f>+C24/D24</f>
        <v>5.495507516651429E-05</v>
      </c>
    </row>
    <row r="25" spans="2:5" ht="12.75">
      <c r="B25" s="292" t="s">
        <v>443</v>
      </c>
      <c r="C25" s="293">
        <v>1431.7248799999993</v>
      </c>
      <c r="D25" s="293">
        <v>507573.9519482581</v>
      </c>
      <c r="E25" s="294">
        <f>+C25/D25</f>
        <v>0.0028207217381910664</v>
      </c>
    </row>
    <row r="26" spans="2:4" ht="12.75">
      <c r="B26" s="47"/>
      <c r="C26" s="47"/>
      <c r="D26" s="47"/>
    </row>
    <row r="27" spans="2:4" ht="12.75">
      <c r="B27" s="47"/>
      <c r="C27" s="47"/>
      <c r="D27" s="47"/>
    </row>
    <row r="28" spans="2:4" ht="12.75">
      <c r="B28" s="47"/>
      <c r="C28" s="47"/>
      <c r="D28" s="47"/>
    </row>
    <row r="29" spans="2:4" ht="12.75">
      <c r="B29" s="47"/>
      <c r="C29" s="47"/>
      <c r="D29" s="47"/>
    </row>
    <row r="30" spans="2:4" ht="12.75">
      <c r="B30" s="47"/>
      <c r="C30" s="47"/>
      <c r="D30" s="47"/>
    </row>
    <row r="31" spans="2:4" ht="12.75">
      <c r="B31" s="47"/>
      <c r="C31" s="47"/>
      <c r="D31" s="47"/>
    </row>
    <row r="32" spans="2:4" ht="15">
      <c r="B32" s="60"/>
      <c r="C32" s="47"/>
      <c r="D32" s="47"/>
    </row>
    <row r="33" spans="2:4" ht="15">
      <c r="B33" s="60"/>
      <c r="C33" s="60"/>
      <c r="D33" s="60"/>
    </row>
    <row r="34" spans="2:4" ht="15">
      <c r="B34" s="60"/>
      <c r="C34" s="60"/>
      <c r="D34" s="60"/>
    </row>
    <row r="35" spans="2:4" ht="15">
      <c r="B35" s="60"/>
      <c r="C35" s="60"/>
      <c r="D35" s="60"/>
    </row>
    <row r="36" spans="2:4" ht="15">
      <c r="B36" s="60"/>
      <c r="C36" s="60"/>
      <c r="D36" s="60"/>
    </row>
    <row r="37" spans="2:4" ht="15">
      <c r="B37" s="60"/>
      <c r="C37" s="60"/>
      <c r="D37" s="60"/>
    </row>
    <row r="38" spans="2:4" ht="15">
      <c r="B38" s="60"/>
      <c r="C38" s="60"/>
      <c r="D38" s="60"/>
    </row>
    <row r="39" spans="2:4" ht="15">
      <c r="B39" s="60"/>
      <c r="C39" s="60"/>
      <c r="D39" s="60"/>
    </row>
    <row r="40" spans="2:4" ht="15">
      <c r="B40" s="60"/>
      <c r="C40" s="60"/>
      <c r="D40" s="60"/>
    </row>
    <row r="41" spans="2:4" ht="15">
      <c r="B41" s="60"/>
      <c r="C41" s="60"/>
      <c r="D41" s="60"/>
    </row>
    <row r="42" spans="2:4" ht="15">
      <c r="B42" s="60"/>
      <c r="C42" s="60"/>
      <c r="D42" s="60"/>
    </row>
    <row r="43" spans="2:4" ht="15">
      <c r="B43" s="60"/>
      <c r="C43" s="60"/>
      <c r="D43" s="60"/>
    </row>
    <row r="44" spans="2:4" ht="15">
      <c r="B44" s="60"/>
      <c r="C44" s="60"/>
      <c r="D44" s="60"/>
    </row>
    <row r="45" spans="2:4" ht="15">
      <c r="B45" s="60"/>
      <c r="C45" s="60"/>
      <c r="D45" s="60"/>
    </row>
    <row r="46" spans="2:4" ht="15">
      <c r="B46" s="60"/>
      <c r="C46" s="60"/>
      <c r="D46" s="60"/>
    </row>
    <row r="47" spans="2:4" ht="15">
      <c r="B47" s="60"/>
      <c r="C47" s="60"/>
      <c r="D47" s="60"/>
    </row>
    <row r="48" spans="2:4" ht="15">
      <c r="B48" s="60"/>
      <c r="C48" s="60"/>
      <c r="D48" s="60"/>
    </row>
    <row r="49" spans="2:4" ht="15">
      <c r="B49" s="60"/>
      <c r="C49" s="60"/>
      <c r="D49" s="60"/>
    </row>
    <row r="50" spans="2:4" ht="15">
      <c r="B50" s="60"/>
      <c r="C50" s="60"/>
      <c r="D50" s="60"/>
    </row>
    <row r="51" spans="2:4" ht="15">
      <c r="B51" s="60"/>
      <c r="C51" s="60"/>
      <c r="D51" s="60"/>
    </row>
    <row r="52" spans="2:4" ht="15">
      <c r="B52" s="60"/>
      <c r="C52" s="60"/>
      <c r="D52" s="60"/>
    </row>
    <row r="53" spans="2:4" ht="15">
      <c r="B53" s="60"/>
      <c r="C53" s="60"/>
      <c r="D53" s="60"/>
    </row>
    <row r="54" spans="2:4" ht="15">
      <c r="B54" s="60"/>
      <c r="C54" s="60"/>
      <c r="D54" s="60"/>
    </row>
    <row r="55" spans="2:4" ht="15">
      <c r="B55" s="60"/>
      <c r="C55" s="60"/>
      <c r="D55" s="60"/>
    </row>
    <row r="56" spans="2:4" ht="15">
      <c r="B56" s="60"/>
      <c r="C56" s="60"/>
      <c r="D56" s="60"/>
    </row>
    <row r="57" spans="2:4" ht="15">
      <c r="B57" s="60"/>
      <c r="C57" s="60"/>
      <c r="D57" s="60"/>
    </row>
    <row r="58" spans="2:4" ht="15">
      <c r="B58" s="60"/>
      <c r="C58" s="60"/>
      <c r="D58" s="60"/>
    </row>
    <row r="59" spans="2:4" ht="15">
      <c r="B59" s="60"/>
      <c r="C59" s="60"/>
      <c r="D59" s="60"/>
    </row>
    <row r="60" spans="2:4" ht="15">
      <c r="B60" s="60"/>
      <c r="C60" s="60"/>
      <c r="D60" s="60"/>
    </row>
    <row r="61" spans="2:4" ht="15">
      <c r="B61" s="60"/>
      <c r="C61" s="60"/>
      <c r="D61" s="60"/>
    </row>
    <row r="62" spans="2:4" ht="15">
      <c r="B62" s="60"/>
      <c r="C62" s="60"/>
      <c r="D62" s="60"/>
    </row>
    <row r="63" spans="2:4" ht="15">
      <c r="B63" s="60"/>
      <c r="C63" s="60"/>
      <c r="D63" s="60"/>
    </row>
    <row r="64" spans="2:4" ht="15">
      <c r="B64" s="60"/>
      <c r="C64" s="60"/>
      <c r="D64" s="60"/>
    </row>
    <row r="65" spans="2:4" ht="15">
      <c r="B65" s="60"/>
      <c r="C65" s="60"/>
      <c r="D65" s="60"/>
    </row>
    <row r="66" spans="2:4" ht="15">
      <c r="B66" s="60"/>
      <c r="C66" s="60"/>
      <c r="D66" s="60"/>
    </row>
    <row r="67" spans="2:4" ht="15">
      <c r="B67" s="60"/>
      <c r="C67" s="60"/>
      <c r="D67" s="60"/>
    </row>
    <row r="68" spans="2:4" ht="15">
      <c r="B68" s="60"/>
      <c r="C68" s="60"/>
      <c r="D68" s="60"/>
    </row>
    <row r="69" spans="2:4" ht="15">
      <c r="B69" s="60"/>
      <c r="C69" s="60"/>
      <c r="D69" s="60"/>
    </row>
    <row r="70" spans="2:4" ht="15">
      <c r="B70" s="60"/>
      <c r="C70" s="60"/>
      <c r="D70" s="60"/>
    </row>
    <row r="71" spans="2:4" ht="15">
      <c r="B71" s="60"/>
      <c r="C71" s="60"/>
      <c r="D71" s="60"/>
    </row>
    <row r="72" spans="2:4" ht="15">
      <c r="B72" s="60"/>
      <c r="C72" s="60"/>
      <c r="D72" s="60"/>
    </row>
    <row r="73" spans="2:4" ht="15">
      <c r="B73" s="60"/>
      <c r="C73" s="60"/>
      <c r="D73" s="60"/>
    </row>
    <row r="74" spans="2:4" ht="15">
      <c r="B74" s="60"/>
      <c r="C74" s="60"/>
      <c r="D74" s="60"/>
    </row>
    <row r="75" spans="2:4" ht="15">
      <c r="B75" s="60"/>
      <c r="C75" s="60"/>
      <c r="D75" s="60"/>
    </row>
    <row r="76" spans="2:4" ht="15">
      <c r="B76" s="60"/>
      <c r="C76" s="60"/>
      <c r="D76" s="60"/>
    </row>
    <row r="77" spans="2:4" ht="15">
      <c r="B77" s="60"/>
      <c r="C77" s="60"/>
      <c r="D77" s="60"/>
    </row>
    <row r="78" spans="2:4" ht="15">
      <c r="B78" s="60"/>
      <c r="C78" s="60"/>
      <c r="D78" s="60"/>
    </row>
    <row r="79" spans="2:4" ht="15">
      <c r="B79" s="60"/>
      <c r="C79" s="60"/>
      <c r="D79" s="60"/>
    </row>
    <row r="80" spans="2:4" ht="15">
      <c r="B80" s="60"/>
      <c r="C80" s="60"/>
      <c r="D80" s="60"/>
    </row>
    <row r="81" spans="2:4" ht="15">
      <c r="B81" s="60"/>
      <c r="C81" s="60"/>
      <c r="D81" s="60"/>
    </row>
    <row r="82" spans="2:4" ht="15">
      <c r="B82" s="60"/>
      <c r="C82" s="60"/>
      <c r="D82" s="60"/>
    </row>
    <row r="83" spans="2:4" ht="15">
      <c r="B83" s="60"/>
      <c r="C83" s="60"/>
      <c r="D83" s="60"/>
    </row>
    <row r="84" spans="2:4" ht="15">
      <c r="B84" s="60"/>
      <c r="C84" s="60"/>
      <c r="D84" s="60"/>
    </row>
    <row r="85" spans="2:4" ht="15">
      <c r="B85" s="60"/>
      <c r="C85" s="60"/>
      <c r="D85" s="60"/>
    </row>
    <row r="86" spans="2:4" ht="15">
      <c r="B86" s="60"/>
      <c r="C86" s="60"/>
      <c r="D86" s="60"/>
    </row>
    <row r="87" spans="2:4" ht="15">
      <c r="B87" s="60"/>
      <c r="C87" s="60"/>
      <c r="D87" s="60"/>
    </row>
    <row r="88" spans="2:4" ht="15">
      <c r="B88" s="60"/>
      <c r="C88" s="60"/>
      <c r="D88" s="60"/>
    </row>
    <row r="89" spans="2:4" ht="15">
      <c r="B89" s="60"/>
      <c r="C89" s="60"/>
      <c r="D89" s="60"/>
    </row>
    <row r="90" spans="2:4" ht="15">
      <c r="B90" s="60"/>
      <c r="C90" s="60"/>
      <c r="D90" s="60"/>
    </row>
    <row r="91" spans="2:4" ht="15">
      <c r="B91" s="60"/>
      <c r="C91" s="60"/>
      <c r="D91" s="60"/>
    </row>
    <row r="92" spans="2:4" ht="15">
      <c r="B92" s="60"/>
      <c r="C92" s="60"/>
      <c r="D92" s="60"/>
    </row>
    <row r="93" spans="2:4" ht="15">
      <c r="B93" s="60"/>
      <c r="C93" s="60"/>
      <c r="D93" s="60"/>
    </row>
    <row r="94" spans="2:4" ht="15">
      <c r="B94" s="60"/>
      <c r="C94" s="60"/>
      <c r="D94" s="60"/>
    </row>
    <row r="95" spans="2:4" ht="15">
      <c r="B95" s="60"/>
      <c r="C95" s="60"/>
      <c r="D95" s="60"/>
    </row>
    <row r="96" spans="2:4" ht="15">
      <c r="B96" s="60"/>
      <c r="C96" s="60"/>
      <c r="D96" s="60"/>
    </row>
    <row r="97" spans="2:4" ht="15">
      <c r="B97" s="60"/>
      <c r="C97" s="60"/>
      <c r="D97" s="60"/>
    </row>
    <row r="98" spans="2:4" ht="15">
      <c r="B98" s="60"/>
      <c r="C98" s="60"/>
      <c r="D98" s="60"/>
    </row>
    <row r="99" spans="2:4" ht="15">
      <c r="B99" s="60"/>
      <c r="C99" s="60"/>
      <c r="D99" s="60"/>
    </row>
    <row r="100" spans="2:4" ht="15">
      <c r="B100" s="60"/>
      <c r="C100" s="60"/>
      <c r="D100" s="60"/>
    </row>
    <row r="101" spans="2:4" ht="15">
      <c r="B101" s="60"/>
      <c r="C101" s="60"/>
      <c r="D101" s="60"/>
    </row>
    <row r="102" spans="2:4" ht="15">
      <c r="B102" s="60"/>
      <c r="C102" s="60"/>
      <c r="D102" s="60"/>
    </row>
    <row r="103" spans="2:4" ht="15">
      <c r="B103" s="60"/>
      <c r="C103" s="60"/>
      <c r="D103" s="60"/>
    </row>
    <row r="104" spans="2:4" ht="15">
      <c r="B104" s="60"/>
      <c r="C104" s="60"/>
      <c r="D104" s="60"/>
    </row>
    <row r="105" spans="2:4" ht="15">
      <c r="B105" s="60"/>
      <c r="C105" s="60"/>
      <c r="D105" s="60"/>
    </row>
    <row r="106" spans="2:4" ht="15">
      <c r="B106" s="60"/>
      <c r="C106" s="60"/>
      <c r="D106" s="60"/>
    </row>
    <row r="107" spans="2:4" ht="15">
      <c r="B107" s="60"/>
      <c r="C107" s="60"/>
      <c r="D107" s="60"/>
    </row>
    <row r="108" spans="2:4" ht="15">
      <c r="B108" s="60"/>
      <c r="C108" s="60"/>
      <c r="D108" s="60"/>
    </row>
    <row r="109" spans="2:4" ht="15">
      <c r="B109" s="60"/>
      <c r="C109" s="60"/>
      <c r="D109" s="60"/>
    </row>
    <row r="110" spans="2:4" ht="15">
      <c r="B110" s="60"/>
      <c r="C110" s="60"/>
      <c r="D110" s="60"/>
    </row>
    <row r="111" spans="3:4" ht="15">
      <c r="C111" s="60"/>
      <c r="D111" s="60"/>
    </row>
  </sheetData>
  <sheetProtection/>
  <mergeCells count="29">
    <mergeCell ref="AJ7:BH7"/>
    <mergeCell ref="AD9:AF9"/>
    <mergeCell ref="X8:AC8"/>
    <mergeCell ref="R8:W8"/>
    <mergeCell ref="B1:D1"/>
    <mergeCell ref="B5:D5"/>
    <mergeCell ref="Q7:AI7"/>
    <mergeCell ref="AT9:AV9"/>
    <mergeCell ref="AG9:AI9"/>
    <mergeCell ref="AK9:AM9"/>
    <mergeCell ref="AN9:AP9"/>
    <mergeCell ref="AQ9:AS9"/>
    <mergeCell ref="AW9:AY9"/>
    <mergeCell ref="K9:M9"/>
    <mergeCell ref="N9:P9"/>
    <mergeCell ref="R9:T9"/>
    <mergeCell ref="U9:W9"/>
    <mergeCell ref="X9:Z9"/>
    <mergeCell ref="AA9:AC9"/>
    <mergeCell ref="J7:P7"/>
    <mergeCell ref="G9:I9"/>
    <mergeCell ref="D9:F9"/>
    <mergeCell ref="D7:I7"/>
    <mergeCell ref="AZ9:BB9"/>
    <mergeCell ref="BC8:BH8"/>
    <mergeCell ref="AW8:BB8"/>
    <mergeCell ref="AQ8:AV8"/>
    <mergeCell ref="AK8:AP8"/>
    <mergeCell ref="AD8:AH8"/>
  </mergeCells>
  <printOptions/>
  <pageMargins left="0.7480314960629921" right="0.7480314960629921" top="0.984251968503937" bottom="0.984251968503937" header="0.5118110236220472" footer="0.5118110236220472"/>
  <pageSetup fitToHeight="1" fitToWidth="1" horizontalDpi="600" verticalDpi="600" orientation="portrait" paperSize="9" scale="14" r:id="rId2"/>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I13"/>
  <sheetViews>
    <sheetView zoomScale="80" zoomScaleNormal="80" zoomScalePageLayoutView="0" workbookViewId="0" topLeftCell="A1">
      <selection activeCell="A1" sqref="A1"/>
    </sheetView>
  </sheetViews>
  <sheetFormatPr defaultColWidth="9.140625" defaultRowHeight="12.75"/>
  <cols>
    <col min="1" max="1" width="12.00390625" style="40" customWidth="1"/>
    <col min="2" max="2" width="34.28125" style="40" customWidth="1"/>
    <col min="3" max="3" width="16.421875" style="40" customWidth="1"/>
    <col min="4" max="4" width="50.28125" style="40" customWidth="1"/>
    <col min="5" max="5" width="20.140625" style="40" customWidth="1"/>
    <col min="6" max="6" width="5.7109375" style="40" customWidth="1"/>
    <col min="7" max="9" width="19.8515625" style="40" customWidth="1"/>
    <col min="10" max="10" width="18.28125" style="40" customWidth="1"/>
    <col min="11" max="16384" width="9.140625" style="40" customWidth="1"/>
  </cols>
  <sheetData>
    <row r="1" spans="2:9" ht="20.25">
      <c r="B1" s="41" t="s">
        <v>135</v>
      </c>
      <c r="C1" s="39"/>
      <c r="D1" s="39"/>
      <c r="E1" s="39"/>
      <c r="F1" s="39"/>
      <c r="G1" s="39"/>
      <c r="H1" s="39"/>
      <c r="I1" s="39"/>
    </row>
    <row r="2" spans="2:3" ht="13.5">
      <c r="B2" s="151" t="str">
        <f>Tradingname</f>
        <v>EAST AUSTRALIAN PIPELINE PTY LIMITED</v>
      </c>
      <c r="C2" s="152"/>
    </row>
    <row r="3" spans="2:5" ht="18" customHeight="1">
      <c r="B3" s="153" t="s">
        <v>180</v>
      </c>
      <c r="C3" s="154">
        <f>Yearending</f>
        <v>44377</v>
      </c>
      <c r="D3" s="114"/>
      <c r="E3" s="114"/>
    </row>
    <row r="4" ht="21">
      <c r="B4" s="38"/>
    </row>
    <row r="5" ht="15">
      <c r="B5" s="62" t="s">
        <v>201</v>
      </c>
    </row>
    <row r="6" spans="2:9" ht="12.75">
      <c r="B6" s="42"/>
      <c r="C6" s="45"/>
      <c r="D6" s="45"/>
      <c r="E6" s="45"/>
      <c r="G6" s="63"/>
      <c r="H6" s="47"/>
      <c r="I6" s="47"/>
    </row>
    <row r="7" spans="2:5" ht="57" customHeight="1">
      <c r="B7" s="423" t="s">
        <v>136</v>
      </c>
      <c r="C7" s="424"/>
      <c r="D7" s="424"/>
      <c r="E7" s="425"/>
    </row>
    <row r="8" spans="2:5" ht="13.5" customHeight="1">
      <c r="B8" s="422" t="s">
        <v>569</v>
      </c>
      <c r="C8" s="422"/>
      <c r="D8" s="422"/>
      <c r="E8" s="422"/>
    </row>
    <row r="9" spans="2:5" ht="13.5" customHeight="1">
      <c r="B9" s="422" t="s">
        <v>570</v>
      </c>
      <c r="C9" s="422"/>
      <c r="D9" s="422"/>
      <c r="E9" s="422"/>
    </row>
    <row r="10" spans="2:5" ht="13.5" customHeight="1">
      <c r="B10" s="422" t="s">
        <v>571</v>
      </c>
      <c r="C10" s="422"/>
      <c r="D10" s="422"/>
      <c r="E10" s="422"/>
    </row>
    <row r="11" spans="2:5" ht="13.5" customHeight="1">
      <c r="B11" s="422"/>
      <c r="C11" s="422"/>
      <c r="D11" s="422"/>
      <c r="E11" s="422"/>
    </row>
    <row r="12" spans="2:5" ht="13.5" customHeight="1">
      <c r="B12" s="422"/>
      <c r="C12" s="422"/>
      <c r="D12" s="422"/>
      <c r="E12" s="422"/>
    </row>
    <row r="13" spans="2:5" ht="13.5" customHeight="1">
      <c r="B13" s="422"/>
      <c r="C13" s="422"/>
      <c r="D13" s="422"/>
      <c r="E13" s="422"/>
    </row>
  </sheetData>
  <sheetProtection/>
  <mergeCells count="7">
    <mergeCell ref="B13:E13"/>
    <mergeCell ref="B7:E7"/>
    <mergeCell ref="B8:E8"/>
    <mergeCell ref="B9:E9"/>
    <mergeCell ref="B10:E10"/>
    <mergeCell ref="B11:E11"/>
    <mergeCell ref="B12:E12"/>
  </mergeCells>
  <printOptions/>
  <pageMargins left="0.7480314960629921" right="0.7480314960629921" top="0.984251968503937" bottom="0.984251968503937" header="0.5118110236220472" footer="0.5118110236220472"/>
  <pageSetup fitToHeight="1" fitToWidth="1" horizontalDpi="600" verticalDpi="600" orientation="portrait" paperSize="9" scale="63" r:id="rId2"/>
  <colBreaks count="1" manualBreakCount="1">
    <brk id="6" max="22" man="1"/>
  </colBreak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D4"/>
  <sheetViews>
    <sheetView zoomScale="80" zoomScaleNormal="80" zoomScalePageLayoutView="0" workbookViewId="0" topLeftCell="A1">
      <selection activeCell="A1" sqref="A1"/>
    </sheetView>
  </sheetViews>
  <sheetFormatPr defaultColWidth="9.140625" defaultRowHeight="12.75"/>
  <cols>
    <col min="1" max="1" width="11.7109375" style="40" customWidth="1"/>
    <col min="2" max="2" width="22.421875" style="40" customWidth="1"/>
    <col min="3" max="3" width="15.8515625" style="40" customWidth="1"/>
    <col min="4" max="4" width="84.28125" style="40" customWidth="1"/>
    <col min="5" max="16384" width="9.140625" style="40" customWidth="1"/>
  </cols>
  <sheetData>
    <row r="1" spans="2:4" ht="21">
      <c r="B1" s="41" t="s">
        <v>358</v>
      </c>
      <c r="C1" s="39"/>
      <c r="D1" s="39"/>
    </row>
    <row r="2" spans="2:3" ht="13.5">
      <c r="B2" s="151" t="str">
        <f>Tradingname</f>
        <v>EAST AUSTRALIAN PIPELINE PTY LIMITED</v>
      </c>
      <c r="C2" s="152"/>
    </row>
    <row r="3" spans="2:4" ht="15.75" customHeight="1">
      <c r="B3" s="153" t="s">
        <v>180</v>
      </c>
      <c r="C3" s="154">
        <f>Yearending</f>
        <v>44377</v>
      </c>
      <c r="D3" s="114"/>
    </row>
    <row r="4" ht="21">
      <c r="B4" s="38"/>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1" r:id="rId2"/>
  <drawing r:id="rId1"/>
</worksheet>
</file>

<file path=xl/worksheets/sheet19.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46"/>
  <sheetViews>
    <sheetView zoomScale="80" zoomScaleNormal="80" zoomScalePageLayoutView="0" workbookViewId="0" topLeftCell="A1">
      <selection activeCell="A1" sqref="A1"/>
    </sheetView>
  </sheetViews>
  <sheetFormatPr defaultColWidth="9.140625" defaultRowHeight="12.75"/>
  <cols>
    <col min="1" max="1" width="6.140625" style="14" customWidth="1"/>
    <col min="2" max="2" width="5.7109375" style="14" customWidth="1"/>
    <col min="3" max="4" width="16.7109375" style="14" customWidth="1"/>
    <col min="5" max="5" width="15.00390625" style="14" customWidth="1"/>
    <col min="6" max="6" width="5.7109375" style="14" customWidth="1"/>
    <col min="7" max="8" width="16.7109375" style="14" customWidth="1"/>
    <col min="9" max="9" width="8.00390625" style="14" customWidth="1"/>
    <col min="10" max="10" width="3.7109375" style="14" customWidth="1"/>
    <col min="11" max="16" width="10.7109375" style="14" customWidth="1"/>
    <col min="17" max="17" width="4.00390625" style="14" customWidth="1"/>
    <col min="18" max="16384" width="9.140625" style="14" customWidth="1"/>
  </cols>
  <sheetData>
    <row r="1" ht="23.25" customHeight="1" thickBot="1">
      <c r="A1" s="14" t="s">
        <v>17</v>
      </c>
    </row>
    <row r="2" spans="2:18" ht="15" customHeight="1">
      <c r="B2" s="136"/>
      <c r="C2" s="137"/>
      <c r="D2" s="137"/>
      <c r="E2" s="137"/>
      <c r="F2" s="137"/>
      <c r="G2" s="137"/>
      <c r="H2" s="137"/>
      <c r="I2" s="138"/>
      <c r="J2" s="15"/>
      <c r="K2" s="15"/>
      <c r="L2" s="15"/>
      <c r="M2" s="15"/>
      <c r="N2" s="15"/>
      <c r="O2" s="15"/>
      <c r="P2" s="15"/>
      <c r="Q2" s="15"/>
      <c r="R2" s="16"/>
    </row>
    <row r="3" spans="2:18" ht="21" customHeight="1">
      <c r="B3" s="139"/>
      <c r="C3" s="141"/>
      <c r="D3" s="140" t="s">
        <v>18</v>
      </c>
      <c r="E3" s="141"/>
      <c r="F3" s="141"/>
      <c r="G3" s="141"/>
      <c r="H3" s="140"/>
      <c r="I3" s="142"/>
      <c r="J3" s="17"/>
      <c r="K3" s="17"/>
      <c r="L3" s="17"/>
      <c r="M3" s="17"/>
      <c r="N3" s="17"/>
      <c r="O3" s="17"/>
      <c r="P3" s="17"/>
      <c r="Q3" s="18"/>
      <c r="R3" s="16"/>
    </row>
    <row r="4" spans="2:18" ht="15" customHeight="1" thickBot="1">
      <c r="B4" s="139"/>
      <c r="C4" s="143"/>
      <c r="D4" s="144"/>
      <c r="E4" s="143"/>
      <c r="F4" s="143"/>
      <c r="G4" s="143"/>
      <c r="H4" s="145"/>
      <c r="I4" s="142"/>
      <c r="J4" s="19"/>
      <c r="K4" s="19"/>
      <c r="L4" s="19"/>
      <c r="M4" s="19"/>
      <c r="N4" s="19"/>
      <c r="O4" s="19"/>
      <c r="P4" s="19"/>
      <c r="Q4" s="15"/>
      <c r="R4" s="16"/>
    </row>
    <row r="5" spans="2:18" s="20" customFormat="1" ht="15" customHeight="1">
      <c r="B5" s="21"/>
      <c r="C5" s="22"/>
      <c r="D5" s="22"/>
      <c r="E5" s="22"/>
      <c r="F5" s="22"/>
      <c r="G5" s="22"/>
      <c r="H5" s="22"/>
      <c r="I5" s="23"/>
      <c r="J5" s="24"/>
      <c r="K5" s="19"/>
      <c r="L5" s="19"/>
      <c r="M5" s="19"/>
      <c r="N5" s="19"/>
      <c r="O5" s="19"/>
      <c r="P5" s="19"/>
      <c r="Q5" s="17"/>
      <c r="R5" s="25"/>
    </row>
    <row r="6" spans="2:18" s="146" customFormat="1" ht="15" customHeight="1">
      <c r="B6" s="31"/>
      <c r="C6" s="26"/>
      <c r="D6" s="26"/>
      <c r="E6" s="26"/>
      <c r="F6" s="26"/>
      <c r="G6" s="26"/>
      <c r="H6" s="26"/>
      <c r="I6" s="32"/>
      <c r="J6" s="24"/>
      <c r="K6" s="19"/>
      <c r="L6" s="19"/>
      <c r="M6" s="19"/>
      <c r="N6" s="19"/>
      <c r="O6" s="19"/>
      <c r="P6" s="19"/>
      <c r="Q6" s="17"/>
      <c r="R6" s="19"/>
    </row>
    <row r="7" spans="2:18" s="146" customFormat="1" ht="15" customHeight="1">
      <c r="B7" s="31"/>
      <c r="C7" s="26"/>
      <c r="D7" s="26"/>
      <c r="E7" s="26"/>
      <c r="F7" s="26"/>
      <c r="G7" s="26"/>
      <c r="H7" s="26"/>
      <c r="I7" s="32"/>
      <c r="J7" s="24"/>
      <c r="K7" s="19"/>
      <c r="L7" s="19"/>
      <c r="M7" s="19"/>
      <c r="N7" s="19"/>
      <c r="O7" s="19"/>
      <c r="P7" s="19"/>
      <c r="Q7" s="17"/>
      <c r="R7" s="19"/>
    </row>
    <row r="8" spans="2:18" s="146" customFormat="1" ht="15" customHeight="1">
      <c r="B8" s="31"/>
      <c r="C8" s="26"/>
      <c r="D8" s="26"/>
      <c r="E8" s="26"/>
      <c r="F8" s="26"/>
      <c r="G8" s="26"/>
      <c r="H8" s="26"/>
      <c r="I8" s="32"/>
      <c r="J8" s="24"/>
      <c r="K8" s="19"/>
      <c r="L8" s="19"/>
      <c r="M8" s="19"/>
      <c r="N8" s="19"/>
      <c r="O8" s="19"/>
      <c r="P8" s="19"/>
      <c r="Q8" s="17"/>
      <c r="R8" s="19"/>
    </row>
    <row r="9" spans="2:18" s="146" customFormat="1" ht="15" customHeight="1">
      <c r="B9" s="31"/>
      <c r="C9" s="26"/>
      <c r="D9" s="26"/>
      <c r="E9" s="26"/>
      <c r="F9" s="26"/>
      <c r="G9" s="26"/>
      <c r="H9" s="26"/>
      <c r="I9" s="32"/>
      <c r="J9" s="24"/>
      <c r="K9" s="19"/>
      <c r="L9" s="19"/>
      <c r="M9" s="19"/>
      <c r="N9" s="19"/>
      <c r="O9" s="19"/>
      <c r="P9" s="19"/>
      <c r="Q9" s="17"/>
      <c r="R9" s="19"/>
    </row>
    <row r="10" spans="2:18" s="146" customFormat="1" ht="15" customHeight="1">
      <c r="B10" s="31"/>
      <c r="C10" s="26"/>
      <c r="D10" s="26"/>
      <c r="E10" s="26"/>
      <c r="F10" s="26"/>
      <c r="G10" s="26"/>
      <c r="H10" s="26"/>
      <c r="I10" s="32"/>
      <c r="J10" s="24"/>
      <c r="K10" s="19"/>
      <c r="L10" s="19"/>
      <c r="M10" s="19"/>
      <c r="N10" s="19"/>
      <c r="O10" s="19"/>
      <c r="P10" s="19"/>
      <c r="Q10" s="17"/>
      <c r="R10" s="19"/>
    </row>
    <row r="11" spans="2:18" s="146" customFormat="1" ht="15" customHeight="1">
      <c r="B11" s="31"/>
      <c r="C11" s="26"/>
      <c r="D11" s="26"/>
      <c r="E11" s="26"/>
      <c r="F11" s="26"/>
      <c r="G11" s="26"/>
      <c r="H11" s="26"/>
      <c r="I11" s="32"/>
      <c r="J11" s="24"/>
      <c r="K11" s="19"/>
      <c r="L11" s="19"/>
      <c r="M11" s="19"/>
      <c r="N11" s="19"/>
      <c r="O11" s="19"/>
      <c r="P11" s="19"/>
      <c r="Q11" s="17"/>
      <c r="R11" s="19"/>
    </row>
    <row r="12" spans="2:18" s="146" customFormat="1" ht="15" customHeight="1">
      <c r="B12" s="31"/>
      <c r="C12" s="26"/>
      <c r="D12" s="26"/>
      <c r="E12" s="26"/>
      <c r="F12" s="26"/>
      <c r="G12" s="26"/>
      <c r="H12" s="26"/>
      <c r="I12" s="32"/>
      <c r="J12" s="24"/>
      <c r="K12" s="19"/>
      <c r="L12" s="19"/>
      <c r="M12" s="19"/>
      <c r="N12" s="19"/>
      <c r="O12" s="19"/>
      <c r="P12" s="19"/>
      <c r="Q12" s="17"/>
      <c r="R12" s="19"/>
    </row>
    <row r="13" spans="2:18" s="146" customFormat="1" ht="15" customHeight="1">
      <c r="B13" s="31"/>
      <c r="C13" s="26"/>
      <c r="D13" s="26"/>
      <c r="E13" s="26"/>
      <c r="F13" s="26"/>
      <c r="G13" s="26"/>
      <c r="H13" s="26"/>
      <c r="I13" s="32"/>
      <c r="J13" s="24"/>
      <c r="K13" s="19"/>
      <c r="L13" s="19"/>
      <c r="M13" s="19"/>
      <c r="N13" s="19"/>
      <c r="O13" s="19"/>
      <c r="P13" s="19"/>
      <c r="Q13" s="17"/>
      <c r="R13" s="19"/>
    </row>
    <row r="14" spans="2:18" s="146" customFormat="1" ht="15" customHeight="1">
      <c r="B14" s="31"/>
      <c r="C14" s="389"/>
      <c r="D14" s="389"/>
      <c r="E14" s="389"/>
      <c r="F14" s="26"/>
      <c r="G14" s="26"/>
      <c r="H14" s="26"/>
      <c r="I14" s="32"/>
      <c r="J14" s="24"/>
      <c r="K14" s="19"/>
      <c r="L14" s="19"/>
      <c r="M14" s="19"/>
      <c r="N14" s="19"/>
      <c r="O14" s="19"/>
      <c r="P14" s="19"/>
      <c r="Q14" s="17"/>
      <c r="R14" s="19"/>
    </row>
    <row r="15" spans="2:18" s="146" customFormat="1" ht="15" customHeight="1">
      <c r="B15" s="31"/>
      <c r="C15" s="26"/>
      <c r="D15" s="26"/>
      <c r="E15" s="26"/>
      <c r="F15" s="26"/>
      <c r="G15" s="26"/>
      <c r="H15" s="26"/>
      <c r="I15" s="32"/>
      <c r="J15" s="24"/>
      <c r="K15" s="147"/>
      <c r="L15" s="19"/>
      <c r="M15" s="19"/>
      <c r="N15" s="19"/>
      <c r="O15" s="19"/>
      <c r="P15" s="19"/>
      <c r="Q15" s="17"/>
      <c r="R15" s="19"/>
    </row>
    <row r="16" spans="2:18" s="146" customFormat="1" ht="15" customHeight="1">
      <c r="B16" s="31"/>
      <c r="C16" s="26"/>
      <c r="D16" s="26"/>
      <c r="E16" s="26"/>
      <c r="F16" s="26"/>
      <c r="G16" s="26"/>
      <c r="H16" s="26"/>
      <c r="I16" s="32"/>
      <c r="J16" s="24"/>
      <c r="K16" s="19"/>
      <c r="L16" s="19"/>
      <c r="M16" s="19"/>
      <c r="N16" s="19"/>
      <c r="O16" s="19"/>
      <c r="P16" s="19"/>
      <c r="Q16" s="17"/>
      <c r="R16" s="19"/>
    </row>
    <row r="17" spans="2:18" s="146" customFormat="1" ht="15" customHeight="1">
      <c r="B17" s="31"/>
      <c r="C17" s="26"/>
      <c r="D17" s="26"/>
      <c r="E17" s="26"/>
      <c r="F17" s="26"/>
      <c r="G17" s="26"/>
      <c r="H17" s="26"/>
      <c r="I17" s="32"/>
      <c r="J17" s="24"/>
      <c r="K17" s="19"/>
      <c r="L17" s="19"/>
      <c r="M17" s="19"/>
      <c r="N17" s="19"/>
      <c r="O17" s="19"/>
      <c r="P17" s="19"/>
      <c r="Q17" s="17"/>
      <c r="R17" s="19"/>
    </row>
    <row r="18" spans="2:18" s="146" customFormat="1" ht="15" customHeight="1">
      <c r="B18" s="31"/>
      <c r="C18" s="26"/>
      <c r="D18" s="26"/>
      <c r="E18" s="26"/>
      <c r="F18" s="26"/>
      <c r="G18" s="26"/>
      <c r="H18" s="26"/>
      <c r="I18" s="32"/>
      <c r="J18" s="24"/>
      <c r="K18" s="19"/>
      <c r="L18" s="19"/>
      <c r="M18" s="19"/>
      <c r="N18" s="19"/>
      <c r="O18" s="19"/>
      <c r="P18" s="19"/>
      <c r="Q18" s="17"/>
      <c r="R18" s="19"/>
    </row>
    <row r="19" spans="2:18" s="146" customFormat="1" ht="15" customHeight="1">
      <c r="B19" s="31"/>
      <c r="C19" s="26"/>
      <c r="D19" s="26"/>
      <c r="E19" s="26"/>
      <c r="F19" s="26"/>
      <c r="G19" s="26"/>
      <c r="H19" s="26"/>
      <c r="I19" s="32"/>
      <c r="J19" s="24"/>
      <c r="K19" s="19"/>
      <c r="L19" s="19"/>
      <c r="M19" s="19"/>
      <c r="N19" s="19"/>
      <c r="O19" s="19"/>
      <c r="P19" s="19"/>
      <c r="Q19" s="17"/>
      <c r="R19" s="19"/>
    </row>
    <row r="20" spans="2:18" s="146" customFormat="1" ht="15" customHeight="1">
      <c r="B20" s="31"/>
      <c r="C20" s="26"/>
      <c r="D20" s="26"/>
      <c r="E20" s="26"/>
      <c r="F20" s="26"/>
      <c r="G20" s="26"/>
      <c r="H20" s="26"/>
      <c r="I20" s="32"/>
      <c r="J20" s="24"/>
      <c r="K20" s="19"/>
      <c r="L20" s="19"/>
      <c r="M20" s="19"/>
      <c r="N20" s="19"/>
      <c r="O20" s="19"/>
      <c r="P20" s="19"/>
      <c r="Q20" s="17"/>
      <c r="R20" s="19"/>
    </row>
    <row r="21" spans="2:18" s="146" customFormat="1" ht="15.75" customHeight="1">
      <c r="B21" s="31"/>
      <c r="C21" s="26"/>
      <c r="D21" s="26"/>
      <c r="E21" s="26"/>
      <c r="F21" s="26"/>
      <c r="G21" s="26"/>
      <c r="H21" s="26"/>
      <c r="I21" s="32"/>
      <c r="J21" s="24"/>
      <c r="K21" s="19"/>
      <c r="L21" s="19"/>
      <c r="M21" s="19"/>
      <c r="N21" s="19"/>
      <c r="O21" s="19"/>
      <c r="P21" s="19"/>
      <c r="Q21" s="17"/>
      <c r="R21" s="19"/>
    </row>
    <row r="22" spans="2:18" s="146" customFormat="1" ht="15.75" customHeight="1">
      <c r="B22" s="31"/>
      <c r="C22" s="26"/>
      <c r="D22" s="26"/>
      <c r="E22" s="26"/>
      <c r="F22" s="26"/>
      <c r="G22" s="26"/>
      <c r="H22" s="26"/>
      <c r="I22" s="32"/>
      <c r="J22" s="24"/>
      <c r="K22" s="19"/>
      <c r="L22" s="19"/>
      <c r="M22" s="19"/>
      <c r="N22" s="19"/>
      <c r="O22" s="19"/>
      <c r="P22" s="19"/>
      <c r="Q22" s="17"/>
      <c r="R22" s="19"/>
    </row>
    <row r="23" spans="2:18" s="146" customFormat="1" ht="15" customHeight="1">
      <c r="B23" s="31"/>
      <c r="C23" s="26"/>
      <c r="D23" s="26"/>
      <c r="E23" s="26"/>
      <c r="F23" s="26"/>
      <c r="G23" s="26"/>
      <c r="H23" s="26"/>
      <c r="I23" s="32"/>
      <c r="J23" s="24"/>
      <c r="K23" s="19"/>
      <c r="L23" s="19"/>
      <c r="M23" s="19"/>
      <c r="N23" s="19"/>
      <c r="O23" s="19"/>
      <c r="P23" s="19"/>
      <c r="Q23" s="17"/>
      <c r="R23" s="19"/>
    </row>
    <row r="24" spans="2:18" s="146" customFormat="1" ht="15" customHeight="1">
      <c r="B24" s="31"/>
      <c r="C24" s="26"/>
      <c r="D24" s="26"/>
      <c r="E24" s="26"/>
      <c r="F24" s="26"/>
      <c r="G24" s="26"/>
      <c r="H24" s="26"/>
      <c r="I24" s="32"/>
      <c r="J24" s="24"/>
      <c r="K24" s="19"/>
      <c r="L24" s="19"/>
      <c r="M24" s="19"/>
      <c r="N24" s="19"/>
      <c r="O24" s="19"/>
      <c r="P24" s="19"/>
      <c r="Q24" s="17"/>
      <c r="R24" s="19"/>
    </row>
    <row r="25" spans="2:18" s="146" customFormat="1" ht="15" customHeight="1">
      <c r="B25" s="31"/>
      <c r="C25" s="26"/>
      <c r="D25" s="26"/>
      <c r="E25" s="26"/>
      <c r="F25" s="26"/>
      <c r="G25" s="26"/>
      <c r="H25" s="26"/>
      <c r="I25" s="32"/>
      <c r="J25" s="24"/>
      <c r="K25" s="19"/>
      <c r="L25" s="19"/>
      <c r="M25" s="19"/>
      <c r="N25" s="19"/>
      <c r="O25" s="19"/>
      <c r="P25" s="19"/>
      <c r="Q25" s="17"/>
      <c r="R25" s="19"/>
    </row>
    <row r="26" spans="2:18" s="146" customFormat="1" ht="15" customHeight="1">
      <c r="B26" s="31"/>
      <c r="C26" s="26"/>
      <c r="D26" s="27"/>
      <c r="E26" s="26"/>
      <c r="F26" s="26"/>
      <c r="G26" s="26"/>
      <c r="H26" s="26"/>
      <c r="I26" s="32"/>
      <c r="J26" s="24"/>
      <c r="K26" s="19"/>
      <c r="L26" s="19"/>
      <c r="M26" s="19"/>
      <c r="N26" s="19"/>
      <c r="O26" s="19"/>
      <c r="P26" s="19"/>
      <c r="Q26" s="17"/>
      <c r="R26" s="19"/>
    </row>
    <row r="27" spans="1:18" s="146" customFormat="1" ht="15" customHeight="1">
      <c r="A27" s="19"/>
      <c r="B27" s="31"/>
      <c r="C27" s="27"/>
      <c r="D27" s="27"/>
      <c r="E27" s="26"/>
      <c r="F27" s="26"/>
      <c r="G27" s="26"/>
      <c r="H27" s="26"/>
      <c r="I27" s="32"/>
      <c r="J27" s="24"/>
      <c r="K27" s="19"/>
      <c r="L27" s="19"/>
      <c r="M27" s="19"/>
      <c r="N27" s="19"/>
      <c r="O27" s="19"/>
      <c r="P27" s="19"/>
      <c r="Q27" s="17"/>
      <c r="R27" s="19"/>
    </row>
    <row r="28" spans="1:18" s="146" customFormat="1" ht="15" customHeight="1">
      <c r="A28" s="19"/>
      <c r="B28" s="31"/>
      <c r="C28" s="27"/>
      <c r="D28" s="27"/>
      <c r="E28" s="26"/>
      <c r="F28" s="26"/>
      <c r="G28" s="26"/>
      <c r="H28" s="26"/>
      <c r="I28" s="32"/>
      <c r="J28" s="24"/>
      <c r="K28" s="19"/>
      <c r="L28" s="19"/>
      <c r="M28" s="19"/>
      <c r="N28" s="19"/>
      <c r="O28" s="19"/>
      <c r="P28" s="19"/>
      <c r="Q28" s="17"/>
      <c r="R28" s="19"/>
    </row>
    <row r="29" spans="1:18" s="146" customFormat="1" ht="15" customHeight="1">
      <c r="A29" s="19"/>
      <c r="B29" s="31"/>
      <c r="C29" s="27"/>
      <c r="D29" s="27"/>
      <c r="E29" s="26"/>
      <c r="F29" s="26"/>
      <c r="G29" s="26"/>
      <c r="H29" s="26"/>
      <c r="I29" s="32"/>
      <c r="J29" s="24"/>
      <c r="K29" s="19"/>
      <c r="L29" s="19"/>
      <c r="M29" s="19"/>
      <c r="N29" s="19"/>
      <c r="O29" s="19"/>
      <c r="P29" s="19"/>
      <c r="Q29" s="17"/>
      <c r="R29" s="19"/>
    </row>
    <row r="30" spans="1:18" s="146" customFormat="1" ht="15" customHeight="1">
      <c r="A30" s="19"/>
      <c r="B30" s="31"/>
      <c r="C30" s="26"/>
      <c r="D30" s="26"/>
      <c r="E30" s="26"/>
      <c r="F30" s="26"/>
      <c r="G30" s="26"/>
      <c r="H30" s="26"/>
      <c r="I30" s="32"/>
      <c r="J30" s="24"/>
      <c r="K30" s="19"/>
      <c r="L30" s="19"/>
      <c r="M30" s="19"/>
      <c r="N30" s="19"/>
      <c r="O30" s="19"/>
      <c r="P30" s="19"/>
      <c r="Q30" s="17"/>
      <c r="R30" s="19"/>
    </row>
    <row r="31" spans="1:18" s="146" customFormat="1" ht="15" customHeight="1">
      <c r="A31" s="19"/>
      <c r="B31" s="31"/>
      <c r="C31" s="26"/>
      <c r="D31" s="26"/>
      <c r="E31" s="26"/>
      <c r="F31" s="26"/>
      <c r="G31" s="26"/>
      <c r="H31" s="26"/>
      <c r="I31" s="32"/>
      <c r="J31" s="30"/>
      <c r="K31" s="17"/>
      <c r="L31" s="17"/>
      <c r="M31" s="17"/>
      <c r="N31" s="17"/>
      <c r="O31" s="17"/>
      <c r="P31" s="17"/>
      <c r="Q31" s="17"/>
      <c r="R31" s="19"/>
    </row>
    <row r="32" spans="1:18" s="146" customFormat="1" ht="15" customHeight="1">
      <c r="A32" s="19"/>
      <c r="B32" s="31"/>
      <c r="C32" s="26"/>
      <c r="D32" s="26"/>
      <c r="E32" s="26"/>
      <c r="F32" s="26"/>
      <c r="G32" s="26"/>
      <c r="H32" s="26"/>
      <c r="I32" s="32"/>
      <c r="J32" s="30"/>
      <c r="K32" s="17"/>
      <c r="L32" s="17"/>
      <c r="M32" s="17"/>
      <c r="N32" s="17"/>
      <c r="O32" s="17"/>
      <c r="P32" s="17"/>
      <c r="Q32" s="17"/>
      <c r="R32" s="19"/>
    </row>
    <row r="33" spans="1:18" s="146" customFormat="1" ht="15" customHeight="1">
      <c r="A33" s="19"/>
      <c r="B33" s="31"/>
      <c r="C33" s="26"/>
      <c r="D33" s="26"/>
      <c r="E33" s="26"/>
      <c r="F33" s="26"/>
      <c r="G33" s="26"/>
      <c r="H33" s="26"/>
      <c r="I33" s="32"/>
      <c r="J33" s="30"/>
      <c r="K33" s="17"/>
      <c r="L33" s="17"/>
      <c r="M33" s="17"/>
      <c r="N33" s="17"/>
      <c r="O33" s="17"/>
      <c r="P33" s="17"/>
      <c r="Q33" s="17"/>
      <c r="R33" s="19"/>
    </row>
    <row r="34" spans="1:18" s="146" customFormat="1" ht="15" customHeight="1">
      <c r="A34" s="19"/>
      <c r="B34" s="31"/>
      <c r="C34" s="26"/>
      <c r="D34" s="26"/>
      <c r="E34" s="26"/>
      <c r="F34" s="26"/>
      <c r="G34" s="26"/>
      <c r="H34" s="26"/>
      <c r="I34" s="32"/>
      <c r="J34" s="30"/>
      <c r="K34" s="17"/>
      <c r="L34" s="17"/>
      <c r="M34" s="17"/>
      <c r="N34" s="17"/>
      <c r="O34" s="17"/>
      <c r="P34" s="17"/>
      <c r="Q34" s="17"/>
      <c r="R34" s="19"/>
    </row>
    <row r="35" spans="1:18" s="146" customFormat="1" ht="15" customHeight="1">
      <c r="A35" s="19"/>
      <c r="B35" s="31"/>
      <c r="C35" s="26"/>
      <c r="D35" s="26"/>
      <c r="E35" s="26"/>
      <c r="F35" s="29"/>
      <c r="G35" s="26"/>
      <c r="H35" s="26"/>
      <c r="I35" s="32"/>
      <c r="J35" s="30"/>
      <c r="K35" s="17"/>
      <c r="L35" s="17"/>
      <c r="M35" s="17"/>
      <c r="N35" s="17"/>
      <c r="O35" s="17"/>
      <c r="P35" s="17"/>
      <c r="Q35" s="17"/>
      <c r="R35" s="19"/>
    </row>
    <row r="36" spans="1:18" s="146" customFormat="1" ht="15" customHeight="1">
      <c r="A36" s="19"/>
      <c r="B36" s="31"/>
      <c r="C36" s="26"/>
      <c r="D36" s="26"/>
      <c r="E36" s="26"/>
      <c r="F36" s="29"/>
      <c r="G36" s="26"/>
      <c r="H36" s="28"/>
      <c r="I36" s="32"/>
      <c r="J36" s="30"/>
      <c r="K36" s="17"/>
      <c r="L36" s="17"/>
      <c r="M36" s="17"/>
      <c r="N36" s="17"/>
      <c r="O36" s="17"/>
      <c r="P36" s="17"/>
      <c r="Q36" s="17"/>
      <c r="R36" s="19"/>
    </row>
    <row r="37" spans="1:18" s="146" customFormat="1" ht="15" customHeight="1">
      <c r="A37" s="19"/>
      <c r="B37" s="31"/>
      <c r="C37" s="26"/>
      <c r="D37" s="26"/>
      <c r="E37" s="26"/>
      <c r="F37" s="29"/>
      <c r="G37" s="26"/>
      <c r="H37" s="26"/>
      <c r="I37" s="32"/>
      <c r="J37" s="30"/>
      <c r="K37" s="17"/>
      <c r="L37" s="17"/>
      <c r="M37" s="17"/>
      <c r="N37" s="17"/>
      <c r="O37" s="17"/>
      <c r="P37" s="17"/>
      <c r="Q37" s="17"/>
      <c r="R37" s="19"/>
    </row>
    <row r="38" spans="1:18" s="146" customFormat="1" ht="15" customHeight="1">
      <c r="A38" s="19"/>
      <c r="B38" s="31"/>
      <c r="C38" s="26"/>
      <c r="D38" s="26"/>
      <c r="E38" s="26"/>
      <c r="F38" s="29"/>
      <c r="G38" s="26"/>
      <c r="H38" s="26"/>
      <c r="I38" s="32"/>
      <c r="J38" s="30"/>
      <c r="K38" s="17"/>
      <c r="L38" s="17"/>
      <c r="M38" s="17"/>
      <c r="N38" s="17"/>
      <c r="O38" s="17"/>
      <c r="P38" s="17"/>
      <c r="Q38" s="17"/>
      <c r="R38" s="19"/>
    </row>
    <row r="39" spans="1:18" s="146" customFormat="1" ht="15" customHeight="1">
      <c r="A39" s="19"/>
      <c r="B39" s="31"/>
      <c r="C39" s="26"/>
      <c r="D39" s="26"/>
      <c r="E39" s="26"/>
      <c r="F39" s="29"/>
      <c r="G39" s="26"/>
      <c r="H39" s="26"/>
      <c r="I39" s="32"/>
      <c r="J39" s="30"/>
      <c r="K39" s="17"/>
      <c r="L39" s="17"/>
      <c r="M39" s="17"/>
      <c r="N39" s="17"/>
      <c r="O39" s="17"/>
      <c r="P39" s="17"/>
      <c r="Q39" s="17"/>
      <c r="R39" s="19"/>
    </row>
    <row r="40" spans="1:9" ht="23.25" thickBot="1">
      <c r="A40" s="16"/>
      <c r="B40" s="33"/>
      <c r="C40" s="34"/>
      <c r="D40" s="34"/>
      <c r="E40" s="35"/>
      <c r="F40" s="35"/>
      <c r="G40" s="35"/>
      <c r="H40" s="35"/>
      <c r="I40" s="36"/>
    </row>
    <row r="41" spans="1:8" ht="36" customHeight="1">
      <c r="A41" s="16"/>
      <c r="B41" s="15"/>
      <c r="C41" s="15"/>
      <c r="D41" s="15"/>
      <c r="F41" s="15"/>
      <c r="G41" s="15"/>
      <c r="H41" s="15"/>
    </row>
    <row r="42" spans="1:4" ht="22.5">
      <c r="A42" s="16"/>
      <c r="B42" s="16"/>
      <c r="C42" s="16"/>
      <c r="D42" s="16"/>
    </row>
    <row r="43" spans="1:4" ht="22.5">
      <c r="A43" s="16"/>
      <c r="B43" s="16"/>
      <c r="C43" s="16"/>
      <c r="D43" s="16"/>
    </row>
    <row r="45" spans="7:8" ht="22.5">
      <c r="G45" s="15"/>
      <c r="H45" s="16"/>
    </row>
    <row r="46" ht="22.5">
      <c r="G46" s="37"/>
    </row>
  </sheetData>
  <sheetProtection/>
  <mergeCells count="1">
    <mergeCell ref="C14:E14"/>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2"/>
  <drawing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B1:E67"/>
  <sheetViews>
    <sheetView zoomScale="80" zoomScaleNormal="80" zoomScalePageLayoutView="0" workbookViewId="0" topLeftCell="A1">
      <selection activeCell="A1" sqref="A1"/>
    </sheetView>
  </sheetViews>
  <sheetFormatPr defaultColWidth="9.140625" defaultRowHeight="12.75"/>
  <cols>
    <col min="1" max="1" width="11.7109375" style="40" customWidth="1"/>
    <col min="2" max="2" width="27.28125" style="40" customWidth="1"/>
    <col min="3" max="4" width="15.8515625" style="40" customWidth="1"/>
    <col min="5" max="5" width="84.00390625" style="40" customWidth="1"/>
    <col min="6" max="16384" width="9.140625" style="40" customWidth="1"/>
  </cols>
  <sheetData>
    <row r="1" spans="2:4" ht="21">
      <c r="B1" s="41" t="s">
        <v>225</v>
      </c>
      <c r="C1" s="39"/>
      <c r="D1" s="39"/>
    </row>
    <row r="2" spans="2:3" ht="13.5">
      <c r="B2" s="151" t="str">
        <f>Tradingname</f>
        <v>EAST AUSTRALIAN PIPELINE PTY LIMITED</v>
      </c>
      <c r="C2" s="152"/>
    </row>
    <row r="3" spans="2:4" ht="15.75" customHeight="1">
      <c r="B3" s="153" t="s">
        <v>180</v>
      </c>
      <c r="C3" s="154">
        <f>Yearending</f>
        <v>44377</v>
      </c>
      <c r="D3" s="114"/>
    </row>
    <row r="4" ht="18" thickBot="1">
      <c r="B4" s="302" t="s">
        <v>453</v>
      </c>
    </row>
    <row r="5" spans="2:5" ht="27" customHeight="1">
      <c r="B5" s="426" t="s">
        <v>449</v>
      </c>
      <c r="C5" s="447" t="s">
        <v>450</v>
      </c>
      <c r="D5" s="448"/>
      <c r="E5" s="449"/>
    </row>
    <row r="6" spans="2:5" ht="52.5" customHeight="1" thickBot="1">
      <c r="B6" s="427"/>
      <c r="C6" s="440" t="s">
        <v>556</v>
      </c>
      <c r="D6" s="441"/>
      <c r="E6" s="442"/>
    </row>
    <row r="7" spans="2:5" ht="30" customHeight="1" thickBot="1">
      <c r="B7" s="300">
        <v>1.1</v>
      </c>
      <c r="C7" s="450" t="s">
        <v>451</v>
      </c>
      <c r="D7" s="451"/>
      <c r="E7" s="452"/>
    </row>
    <row r="8" spans="2:5" ht="30" customHeight="1">
      <c r="B8" s="428" t="s">
        <v>395</v>
      </c>
      <c r="C8" s="457" t="s">
        <v>526</v>
      </c>
      <c r="D8" s="457"/>
      <c r="E8" s="458"/>
    </row>
    <row r="9" spans="2:5" ht="30" customHeight="1">
      <c r="B9" s="429"/>
      <c r="C9" s="430" t="s">
        <v>549</v>
      </c>
      <c r="D9" s="430"/>
      <c r="E9" s="431"/>
    </row>
    <row r="10" spans="2:5" ht="30" customHeight="1" thickBot="1">
      <c r="B10" s="351"/>
      <c r="C10" s="430" t="s">
        <v>555</v>
      </c>
      <c r="D10" s="430"/>
      <c r="E10" s="431"/>
    </row>
    <row r="11" spans="2:5" ht="90.75" customHeight="1" thickBot="1">
      <c r="B11" s="352" t="s">
        <v>553</v>
      </c>
      <c r="C11" s="445" t="s">
        <v>558</v>
      </c>
      <c r="D11" s="445"/>
      <c r="E11" s="446"/>
    </row>
    <row r="12" spans="2:5" ht="39.75" customHeight="1" thickBot="1">
      <c r="B12" s="352">
        <v>1.2</v>
      </c>
      <c r="C12" s="453" t="s">
        <v>452</v>
      </c>
      <c r="D12" s="445"/>
      <c r="E12" s="446"/>
    </row>
    <row r="13" spans="2:5" ht="275.25" customHeight="1" thickBot="1">
      <c r="B13" s="301">
        <v>2.1</v>
      </c>
      <c r="C13" s="440" t="s">
        <v>557</v>
      </c>
      <c r="D13" s="441"/>
      <c r="E13" s="442"/>
    </row>
    <row r="14" spans="2:5" ht="99.75" customHeight="1" thickBot="1">
      <c r="B14" s="301" t="s">
        <v>402</v>
      </c>
      <c r="C14" s="440" t="s">
        <v>554</v>
      </c>
      <c r="D14" s="441"/>
      <c r="E14" s="442"/>
    </row>
    <row r="15" spans="2:5" ht="62.25" customHeight="1" thickBot="1">
      <c r="B15" s="301" t="s">
        <v>415</v>
      </c>
      <c r="C15" s="450" t="s">
        <v>550</v>
      </c>
      <c r="D15" s="451"/>
      <c r="E15" s="452"/>
    </row>
    <row r="16" spans="2:5" ht="27" customHeight="1" thickBot="1">
      <c r="B16" s="300">
        <v>3.4</v>
      </c>
      <c r="C16" s="454" t="s">
        <v>454</v>
      </c>
      <c r="D16" s="455"/>
      <c r="E16" s="456"/>
    </row>
    <row r="17" spans="2:5" ht="40.5" customHeight="1">
      <c r="B17" s="432">
        <v>5.1</v>
      </c>
      <c r="C17" s="434" t="s">
        <v>455</v>
      </c>
      <c r="D17" s="435"/>
      <c r="E17" s="436"/>
    </row>
    <row r="18" spans="2:5" ht="60" customHeight="1" thickBot="1">
      <c r="B18" s="433"/>
      <c r="C18" s="437" t="s">
        <v>456</v>
      </c>
      <c r="D18" s="438"/>
      <c r="E18" s="439"/>
    </row>
    <row r="20" spans="2:5" ht="15">
      <c r="B20" s="303" t="s">
        <v>457</v>
      </c>
      <c r="C20" s="304"/>
      <c r="D20" s="304"/>
      <c r="E20" s="304"/>
    </row>
    <row r="21" spans="2:5" ht="13.5" thickBot="1">
      <c r="B21" s="304"/>
      <c r="C21" s="304"/>
      <c r="D21" s="304"/>
      <c r="E21" s="304"/>
    </row>
    <row r="22" spans="2:4" ht="24">
      <c r="B22" s="443" t="s">
        <v>458</v>
      </c>
      <c r="C22" s="305" t="s">
        <v>459</v>
      </c>
      <c r="D22" s="305" t="s">
        <v>460</v>
      </c>
    </row>
    <row r="23" spans="2:4" ht="13.5" thickBot="1">
      <c r="B23" s="444"/>
      <c r="C23" s="306" t="s">
        <v>461</v>
      </c>
      <c r="D23" s="306" t="s">
        <v>461</v>
      </c>
    </row>
    <row r="24" spans="2:4" ht="21" customHeight="1">
      <c r="B24" s="307" t="s">
        <v>462</v>
      </c>
      <c r="C24" s="308"/>
      <c r="D24" s="308"/>
    </row>
    <row r="25" spans="2:4" ht="12.75">
      <c r="B25" s="309" t="s">
        <v>463</v>
      </c>
      <c r="C25" s="308">
        <v>578</v>
      </c>
      <c r="D25" s="308"/>
    </row>
    <row r="26" spans="2:4" ht="22.5">
      <c r="B26" s="309" t="s">
        <v>464</v>
      </c>
      <c r="C26" s="308">
        <v>942</v>
      </c>
      <c r="D26" s="308">
        <v>310</v>
      </c>
    </row>
    <row r="27" spans="2:4" ht="22.5">
      <c r="B27" s="309" t="s">
        <v>465</v>
      </c>
      <c r="C27" s="308">
        <v>1033</v>
      </c>
      <c r="D27" s="308">
        <v>219</v>
      </c>
    </row>
    <row r="28" spans="2:4" ht="12.75">
      <c r="B28" s="309" t="s">
        <v>466</v>
      </c>
      <c r="C28" s="308">
        <v>1077</v>
      </c>
      <c r="D28" s="308">
        <v>263</v>
      </c>
    </row>
    <row r="29" spans="2:4" ht="12.75">
      <c r="B29" s="309" t="s">
        <v>467</v>
      </c>
      <c r="C29" s="308">
        <v>1114</v>
      </c>
      <c r="D29" s="308">
        <v>300</v>
      </c>
    </row>
    <row r="30" spans="2:4" ht="12.75">
      <c r="B30" s="309" t="s">
        <v>468</v>
      </c>
      <c r="C30" s="308">
        <v>1185</v>
      </c>
      <c r="D30" s="308">
        <v>370</v>
      </c>
    </row>
    <row r="31" spans="2:4" ht="12.75">
      <c r="B31" s="309" t="s">
        <v>469</v>
      </c>
      <c r="C31" s="308">
        <v>1207</v>
      </c>
      <c r="D31" s="308">
        <v>393</v>
      </c>
    </row>
    <row r="32" spans="2:4" ht="12.75">
      <c r="B32" s="309" t="s">
        <v>470</v>
      </c>
      <c r="C32" s="308">
        <v>1231</v>
      </c>
      <c r="D32" s="308">
        <v>417</v>
      </c>
    </row>
    <row r="33" spans="2:4" ht="12.75">
      <c r="B33" s="309" t="s">
        <v>471</v>
      </c>
      <c r="C33" s="308">
        <v>1246</v>
      </c>
      <c r="D33" s="308">
        <v>432</v>
      </c>
    </row>
    <row r="34" spans="2:4" ht="12.75">
      <c r="B34" s="309" t="s">
        <v>472</v>
      </c>
      <c r="C34" s="308">
        <v>1256</v>
      </c>
      <c r="D34" s="308">
        <v>442</v>
      </c>
    </row>
    <row r="35" spans="2:4" ht="12.75">
      <c r="B35" s="309" t="s">
        <v>473</v>
      </c>
      <c r="C35" s="308">
        <v>1284</v>
      </c>
      <c r="D35" s="308">
        <v>470</v>
      </c>
    </row>
    <row r="36" spans="2:4" ht="13.5" thickBot="1">
      <c r="B36" s="310" t="s">
        <v>474</v>
      </c>
      <c r="C36" s="306">
        <v>1299</v>
      </c>
      <c r="D36" s="311">
        <v>485</v>
      </c>
    </row>
    <row r="37" spans="2:4" ht="12.75">
      <c r="B37" s="307" t="s">
        <v>475</v>
      </c>
      <c r="C37" s="308"/>
      <c r="D37" s="308"/>
    </row>
    <row r="38" spans="2:4" ht="22.5">
      <c r="B38" s="309" t="s">
        <v>465</v>
      </c>
      <c r="C38" s="308">
        <v>1033</v>
      </c>
      <c r="D38" s="308">
        <v>219</v>
      </c>
    </row>
    <row r="39" spans="2:4" ht="12.75">
      <c r="B39" s="309" t="s">
        <v>476</v>
      </c>
      <c r="C39" s="308">
        <v>1072</v>
      </c>
      <c r="D39" s="308">
        <v>180</v>
      </c>
    </row>
    <row r="40" spans="2:4" ht="12.75">
      <c r="B40" s="309" t="s">
        <v>477</v>
      </c>
      <c r="C40" s="308">
        <v>1091</v>
      </c>
      <c r="D40" s="308">
        <v>277</v>
      </c>
    </row>
    <row r="41" spans="2:4" ht="12.75">
      <c r="B41" s="309" t="s">
        <v>478</v>
      </c>
      <c r="C41" s="308">
        <v>1158</v>
      </c>
      <c r="D41" s="308">
        <v>344</v>
      </c>
    </row>
    <row r="42" spans="2:4" ht="12.75">
      <c r="B42" s="309" t="s">
        <v>479</v>
      </c>
      <c r="C42" s="308">
        <v>1154</v>
      </c>
      <c r="D42" s="308">
        <v>340</v>
      </c>
    </row>
    <row r="43" spans="2:4" ht="12.75">
      <c r="B43" s="309" t="s">
        <v>480</v>
      </c>
      <c r="C43" s="308">
        <v>1171</v>
      </c>
      <c r="D43" s="308">
        <v>357</v>
      </c>
    </row>
    <row r="44" spans="2:4" ht="12.75">
      <c r="B44" s="309" t="s">
        <v>481</v>
      </c>
      <c r="C44" s="308">
        <v>1194</v>
      </c>
      <c r="D44" s="308">
        <v>380</v>
      </c>
    </row>
    <row r="45" spans="2:4" ht="12.75">
      <c r="B45" s="309" t="s">
        <v>482</v>
      </c>
      <c r="C45" s="308">
        <v>1234</v>
      </c>
      <c r="D45" s="308">
        <v>420</v>
      </c>
    </row>
    <row r="46" spans="2:4" ht="12.75">
      <c r="B46" s="309" t="s">
        <v>483</v>
      </c>
      <c r="C46" s="308">
        <v>1237</v>
      </c>
      <c r="D46" s="308">
        <v>423</v>
      </c>
    </row>
    <row r="47" spans="2:4" ht="13.5" thickBot="1">
      <c r="B47" s="312" t="s">
        <v>484</v>
      </c>
      <c r="C47" s="311">
        <v>1245</v>
      </c>
      <c r="D47" s="311">
        <v>431</v>
      </c>
    </row>
    <row r="48" spans="2:4" ht="27" customHeight="1">
      <c r="B48" s="307" t="s">
        <v>485</v>
      </c>
      <c r="C48" s="313"/>
      <c r="D48" s="313"/>
    </row>
    <row r="49" spans="2:4" ht="15.75" customHeight="1" thickBot="1">
      <c r="B49" s="312" t="s">
        <v>486</v>
      </c>
      <c r="C49" s="311">
        <v>1189</v>
      </c>
      <c r="D49" s="311">
        <v>375</v>
      </c>
    </row>
    <row r="50" spans="2:4" ht="30" customHeight="1">
      <c r="B50" s="307" t="s">
        <v>487</v>
      </c>
      <c r="C50" s="313"/>
      <c r="D50" s="313"/>
    </row>
    <row r="51" spans="2:4" ht="22.5">
      <c r="B51" s="309" t="s">
        <v>465</v>
      </c>
      <c r="C51" s="308">
        <v>1033</v>
      </c>
      <c r="D51" s="308">
        <v>219</v>
      </c>
    </row>
    <row r="52" spans="2:4" ht="12.75">
      <c r="B52" s="309" t="s">
        <v>488</v>
      </c>
      <c r="C52" s="308">
        <v>1046</v>
      </c>
      <c r="D52" s="308">
        <v>206</v>
      </c>
    </row>
    <row r="53" spans="2:4" ht="12.75">
      <c r="B53" s="309" t="s">
        <v>489</v>
      </c>
      <c r="C53" s="308">
        <v>1090</v>
      </c>
      <c r="D53" s="308">
        <v>167</v>
      </c>
    </row>
    <row r="54" spans="2:4" ht="12.75">
      <c r="B54" s="309" t="s">
        <v>490</v>
      </c>
      <c r="C54" s="308">
        <v>1125</v>
      </c>
      <c r="D54" s="308">
        <v>127</v>
      </c>
    </row>
    <row r="55" spans="2:4" ht="12.75">
      <c r="B55" s="309" t="s">
        <v>491</v>
      </c>
      <c r="C55" s="308">
        <v>1138</v>
      </c>
      <c r="D55" s="308">
        <v>114</v>
      </c>
    </row>
    <row r="56" spans="2:4" ht="12.75">
      <c r="B56" s="309" t="s">
        <v>492</v>
      </c>
      <c r="C56" s="308">
        <v>1164</v>
      </c>
      <c r="D56" s="308">
        <v>88</v>
      </c>
    </row>
    <row r="57" spans="2:4" ht="12.75">
      <c r="B57" s="309" t="s">
        <v>493</v>
      </c>
      <c r="C57" s="308">
        <v>1192</v>
      </c>
      <c r="D57" s="308">
        <v>60</v>
      </c>
    </row>
    <row r="58" spans="2:4" ht="16.5" customHeight="1" thickBot="1">
      <c r="B58" s="312" t="s">
        <v>494</v>
      </c>
      <c r="C58" s="311">
        <v>1236</v>
      </c>
      <c r="D58" s="311">
        <v>16</v>
      </c>
    </row>
    <row r="59" spans="2:4" ht="24" customHeight="1">
      <c r="B59" s="307" t="s">
        <v>495</v>
      </c>
      <c r="C59" s="313"/>
      <c r="D59" s="313"/>
    </row>
    <row r="60" spans="2:4" ht="12.75">
      <c r="B60" s="309" t="s">
        <v>496</v>
      </c>
      <c r="C60" s="308">
        <v>1138</v>
      </c>
      <c r="D60" s="308">
        <v>114</v>
      </c>
    </row>
    <row r="61" spans="2:4" ht="12.75">
      <c r="B61" s="309" t="s">
        <v>497</v>
      </c>
      <c r="C61" s="308">
        <v>1144</v>
      </c>
      <c r="D61" s="308">
        <v>120</v>
      </c>
    </row>
    <row r="62" spans="2:4" ht="12.75">
      <c r="B62" s="309" t="s">
        <v>498</v>
      </c>
      <c r="C62" s="308">
        <v>1178</v>
      </c>
      <c r="D62" s="308">
        <v>154</v>
      </c>
    </row>
    <row r="63" spans="2:4" ht="12.75">
      <c r="B63" s="309" t="s">
        <v>499</v>
      </c>
      <c r="C63" s="308">
        <v>1194</v>
      </c>
      <c r="D63" s="308">
        <v>170</v>
      </c>
    </row>
    <row r="64" spans="2:4" ht="12.75">
      <c r="B64" s="309" t="s">
        <v>500</v>
      </c>
      <c r="C64" s="308">
        <v>1242</v>
      </c>
      <c r="D64" s="308">
        <v>218</v>
      </c>
    </row>
    <row r="65" spans="2:4" ht="12.75">
      <c r="B65" s="309" t="s">
        <v>501</v>
      </c>
      <c r="C65" s="308">
        <v>1254</v>
      </c>
      <c r="D65" s="308">
        <v>230</v>
      </c>
    </row>
    <row r="66" spans="2:4" ht="12.75">
      <c r="B66" s="309" t="s">
        <v>502</v>
      </c>
      <c r="C66" s="308">
        <v>1263</v>
      </c>
      <c r="D66" s="308">
        <v>239</v>
      </c>
    </row>
    <row r="67" spans="2:4" ht="13.5" thickBot="1">
      <c r="B67" s="312" t="s">
        <v>503</v>
      </c>
      <c r="C67" s="311">
        <v>1317</v>
      </c>
      <c r="D67" s="311">
        <v>293</v>
      </c>
    </row>
  </sheetData>
  <sheetProtection/>
  <mergeCells count="18">
    <mergeCell ref="B22:B23"/>
    <mergeCell ref="C13:E13"/>
    <mergeCell ref="C11:E11"/>
    <mergeCell ref="C5:E5"/>
    <mergeCell ref="C7:E7"/>
    <mergeCell ref="C12:E12"/>
    <mergeCell ref="C15:E15"/>
    <mergeCell ref="C16:E16"/>
    <mergeCell ref="C9:E9"/>
    <mergeCell ref="C8:E8"/>
    <mergeCell ref="B5:B6"/>
    <mergeCell ref="B8:B9"/>
    <mergeCell ref="C10:E10"/>
    <mergeCell ref="B17:B18"/>
    <mergeCell ref="C17:E17"/>
    <mergeCell ref="C18:E18"/>
    <mergeCell ref="C14:E14"/>
    <mergeCell ref="C6:E6"/>
  </mergeCells>
  <printOptions/>
  <pageMargins left="0.7480314960629921" right="0.7480314960629921" top="0.984251968503937" bottom="0.984251968503937" header="0.5118110236220472" footer="0.5118110236220472"/>
  <pageSetup fitToHeight="1" fitToWidth="1" horizontalDpi="600" verticalDpi="600" orientation="portrait" paperSize="9" scale="47"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2:G29"/>
  <sheetViews>
    <sheetView zoomScale="80" zoomScaleNormal="80" zoomScalePageLayoutView="0" workbookViewId="0" topLeftCell="A1">
      <selection activeCell="A1" sqref="A1"/>
    </sheetView>
  </sheetViews>
  <sheetFormatPr defaultColWidth="9.140625" defaultRowHeight="12.75"/>
  <cols>
    <col min="1" max="1" width="10.7109375" style="0" customWidth="1"/>
    <col min="2" max="2" width="20.00390625" style="179" customWidth="1"/>
    <col min="3" max="3" width="27.421875" style="0" customWidth="1"/>
    <col min="4" max="4" width="29.00390625" style="179" customWidth="1"/>
    <col min="5" max="5" width="19.8515625" style="0" customWidth="1"/>
    <col min="6" max="6" width="21.421875" style="0" customWidth="1"/>
    <col min="7" max="7" width="59.00390625" style="0" customWidth="1"/>
  </cols>
  <sheetData>
    <row r="2" spans="1:7" ht="12.75">
      <c r="A2" s="180" t="s">
        <v>233</v>
      </c>
      <c r="B2" s="181" t="s">
        <v>234</v>
      </c>
      <c r="C2" s="180" t="s">
        <v>235</v>
      </c>
      <c r="D2" s="181" t="s">
        <v>236</v>
      </c>
      <c r="E2" s="180" t="s">
        <v>239</v>
      </c>
      <c r="F2" s="180" t="s">
        <v>237</v>
      </c>
      <c r="G2" s="180" t="s">
        <v>238</v>
      </c>
    </row>
    <row r="3" spans="1:7" s="184" customFormat="1" ht="12.75">
      <c r="A3" s="182">
        <v>43767</v>
      </c>
      <c r="B3" s="183">
        <v>0</v>
      </c>
      <c r="C3" s="184" t="s">
        <v>290</v>
      </c>
      <c r="D3" s="183" t="s">
        <v>290</v>
      </c>
      <c r="E3" s="184" t="s">
        <v>290</v>
      </c>
      <c r="F3" s="185" t="s">
        <v>292</v>
      </c>
      <c r="G3" s="185" t="s">
        <v>291</v>
      </c>
    </row>
    <row r="4" spans="1:7" s="184" customFormat="1" ht="26.25">
      <c r="A4" s="182">
        <v>43999</v>
      </c>
      <c r="B4" s="183">
        <v>1</v>
      </c>
      <c r="C4" s="184" t="s">
        <v>297</v>
      </c>
      <c r="D4" s="186" t="s">
        <v>298</v>
      </c>
      <c r="E4" s="187" t="s">
        <v>299</v>
      </c>
      <c r="F4" s="187" t="s">
        <v>300</v>
      </c>
      <c r="G4" s="188" t="s">
        <v>338</v>
      </c>
    </row>
    <row r="5" spans="1:7" s="184" customFormat="1" ht="12.75">
      <c r="A5" s="182">
        <v>43999</v>
      </c>
      <c r="B5" s="183">
        <v>2</v>
      </c>
      <c r="C5" s="187" t="s">
        <v>297</v>
      </c>
      <c r="D5" s="186" t="s">
        <v>298</v>
      </c>
      <c r="E5" s="187" t="s">
        <v>301</v>
      </c>
      <c r="F5" s="187" t="s">
        <v>300</v>
      </c>
      <c r="G5" s="188" t="s">
        <v>302</v>
      </c>
    </row>
    <row r="6" spans="1:7" s="184" customFormat="1" ht="26.25" customHeight="1">
      <c r="A6" s="182">
        <v>43999</v>
      </c>
      <c r="B6" s="183">
        <v>3</v>
      </c>
      <c r="C6" s="187" t="s">
        <v>297</v>
      </c>
      <c r="D6" s="186" t="s">
        <v>298</v>
      </c>
      <c r="E6" s="187" t="s">
        <v>303</v>
      </c>
      <c r="F6" s="187" t="s">
        <v>300</v>
      </c>
      <c r="G6" s="188" t="s">
        <v>304</v>
      </c>
    </row>
    <row r="7" spans="1:7" s="184" customFormat="1" ht="12.75">
      <c r="A7" s="182">
        <v>43999</v>
      </c>
      <c r="B7" s="183">
        <v>4</v>
      </c>
      <c r="C7" s="187" t="s">
        <v>297</v>
      </c>
      <c r="D7" s="186" t="s">
        <v>298</v>
      </c>
      <c r="E7" s="187" t="s">
        <v>305</v>
      </c>
      <c r="F7" s="187" t="s">
        <v>334</v>
      </c>
      <c r="G7" s="188" t="s">
        <v>306</v>
      </c>
    </row>
    <row r="8" spans="1:7" s="184" customFormat="1" ht="12.75">
      <c r="A8" s="182">
        <v>43999</v>
      </c>
      <c r="B8" s="183">
        <v>5</v>
      </c>
      <c r="C8" s="187" t="s">
        <v>297</v>
      </c>
      <c r="D8" s="186" t="s">
        <v>298</v>
      </c>
      <c r="E8" s="187" t="s">
        <v>307</v>
      </c>
      <c r="F8" s="187" t="s">
        <v>334</v>
      </c>
      <c r="G8" s="188" t="s">
        <v>308</v>
      </c>
    </row>
    <row r="9" spans="1:7" s="184" customFormat="1" ht="12.75">
      <c r="A9" s="182">
        <v>43999</v>
      </c>
      <c r="B9" s="183">
        <v>6</v>
      </c>
      <c r="C9" s="187" t="s">
        <v>297</v>
      </c>
      <c r="D9" s="186" t="s">
        <v>298</v>
      </c>
      <c r="E9" s="187" t="s">
        <v>309</v>
      </c>
      <c r="F9" s="187" t="s">
        <v>334</v>
      </c>
      <c r="G9" s="188" t="s">
        <v>310</v>
      </c>
    </row>
    <row r="10" spans="1:7" s="184" customFormat="1" ht="26.25">
      <c r="A10" s="182">
        <v>43999</v>
      </c>
      <c r="B10" s="183">
        <v>7</v>
      </c>
      <c r="C10" s="187" t="s">
        <v>297</v>
      </c>
      <c r="D10" s="186" t="s">
        <v>298</v>
      </c>
      <c r="E10" s="187" t="s">
        <v>311</v>
      </c>
      <c r="F10" s="187" t="s">
        <v>334</v>
      </c>
      <c r="G10" s="188" t="s">
        <v>312</v>
      </c>
    </row>
    <row r="11" spans="1:7" s="184" customFormat="1" ht="12.75">
      <c r="A11" s="182">
        <v>43999</v>
      </c>
      <c r="B11" s="183">
        <v>8</v>
      </c>
      <c r="C11" s="187" t="s">
        <v>313</v>
      </c>
      <c r="D11" s="186" t="s">
        <v>314</v>
      </c>
      <c r="E11" s="187" t="s">
        <v>315</v>
      </c>
      <c r="F11" s="187" t="s">
        <v>335</v>
      </c>
      <c r="G11" s="188" t="s">
        <v>316</v>
      </c>
    </row>
    <row r="12" spans="1:7" s="184" customFormat="1" ht="26.25">
      <c r="A12" s="182">
        <v>43999</v>
      </c>
      <c r="B12" s="183">
        <v>9</v>
      </c>
      <c r="C12" s="187" t="s">
        <v>318</v>
      </c>
      <c r="D12" s="211" t="s">
        <v>319</v>
      </c>
      <c r="E12" s="187" t="s">
        <v>317</v>
      </c>
      <c r="F12" s="187" t="s">
        <v>300</v>
      </c>
      <c r="G12" s="188" t="s">
        <v>320</v>
      </c>
    </row>
    <row r="13" spans="1:7" s="184" customFormat="1" ht="26.25">
      <c r="A13" s="182">
        <v>43999</v>
      </c>
      <c r="B13" s="183">
        <v>10</v>
      </c>
      <c r="C13" s="187" t="s">
        <v>321</v>
      </c>
      <c r="D13" s="211" t="s">
        <v>323</v>
      </c>
      <c r="E13" s="187" t="s">
        <v>322</v>
      </c>
      <c r="F13" s="187" t="s">
        <v>335</v>
      </c>
      <c r="G13" s="188" t="s">
        <v>324</v>
      </c>
    </row>
    <row r="14" spans="1:7" s="184" customFormat="1" ht="26.25">
      <c r="A14" s="182">
        <v>43999</v>
      </c>
      <c r="B14" s="183">
        <v>11</v>
      </c>
      <c r="C14" s="187" t="s">
        <v>325</v>
      </c>
      <c r="D14" s="211" t="s">
        <v>326</v>
      </c>
      <c r="E14" s="187" t="s">
        <v>327</v>
      </c>
      <c r="F14" s="187" t="s">
        <v>336</v>
      </c>
      <c r="G14" s="188" t="s">
        <v>328</v>
      </c>
    </row>
    <row r="15" spans="1:7" s="184" customFormat="1" ht="39">
      <c r="A15" s="182">
        <v>43999</v>
      </c>
      <c r="B15" s="183">
        <v>12</v>
      </c>
      <c r="C15" s="187" t="s">
        <v>330</v>
      </c>
      <c r="D15" s="186" t="s">
        <v>331</v>
      </c>
      <c r="E15" s="187" t="s">
        <v>332</v>
      </c>
      <c r="F15" s="187" t="s">
        <v>334</v>
      </c>
      <c r="G15" s="188" t="s">
        <v>337</v>
      </c>
    </row>
    <row r="16" spans="1:7" s="184" customFormat="1" ht="26.25">
      <c r="A16" s="182">
        <v>43999</v>
      </c>
      <c r="B16" s="183">
        <v>13</v>
      </c>
      <c r="C16" s="187" t="s">
        <v>330</v>
      </c>
      <c r="D16" s="186" t="s">
        <v>331</v>
      </c>
      <c r="E16" s="187" t="s">
        <v>341</v>
      </c>
      <c r="F16" s="187" t="s">
        <v>333</v>
      </c>
      <c r="G16" s="188" t="s">
        <v>339</v>
      </c>
    </row>
    <row r="17" spans="1:7" s="184" customFormat="1" ht="26.25">
      <c r="A17" s="182">
        <v>43999</v>
      </c>
      <c r="B17" s="183">
        <v>14</v>
      </c>
      <c r="C17" s="187" t="s">
        <v>297</v>
      </c>
      <c r="D17" s="186" t="s">
        <v>298</v>
      </c>
      <c r="E17" s="187" t="s">
        <v>340</v>
      </c>
      <c r="F17" s="187" t="s">
        <v>333</v>
      </c>
      <c r="G17" s="188" t="s">
        <v>339</v>
      </c>
    </row>
    <row r="18" spans="1:7" s="184" customFormat="1" ht="26.25">
      <c r="A18" s="182">
        <v>44008</v>
      </c>
      <c r="B18" s="183">
        <v>15</v>
      </c>
      <c r="C18" s="187" t="s">
        <v>342</v>
      </c>
      <c r="D18" s="211" t="s">
        <v>343</v>
      </c>
      <c r="E18" s="187" t="s">
        <v>367</v>
      </c>
      <c r="F18" s="187" t="s">
        <v>336</v>
      </c>
      <c r="G18" s="188" t="s">
        <v>355</v>
      </c>
    </row>
    <row r="19" spans="1:7" s="184" customFormat="1" ht="26.25">
      <c r="A19" s="182">
        <v>44008</v>
      </c>
      <c r="B19" s="183">
        <v>16</v>
      </c>
      <c r="C19" s="187" t="s">
        <v>342</v>
      </c>
      <c r="D19" s="211" t="s">
        <v>343</v>
      </c>
      <c r="E19" s="187" t="s">
        <v>344</v>
      </c>
      <c r="F19" s="187" t="s">
        <v>333</v>
      </c>
      <c r="G19" s="188" t="s">
        <v>345</v>
      </c>
    </row>
    <row r="20" spans="1:7" s="184" customFormat="1" ht="12.75">
      <c r="A20" s="182">
        <v>44008</v>
      </c>
      <c r="B20" s="183">
        <v>17</v>
      </c>
      <c r="C20" s="187" t="s">
        <v>297</v>
      </c>
      <c r="D20" s="186" t="s">
        <v>298</v>
      </c>
      <c r="E20" s="187" t="s">
        <v>346</v>
      </c>
      <c r="F20" s="187" t="s">
        <v>333</v>
      </c>
      <c r="G20" s="188" t="s">
        <v>345</v>
      </c>
    </row>
    <row r="21" spans="1:7" s="184" customFormat="1" ht="12.75">
      <c r="A21" s="182">
        <v>44008</v>
      </c>
      <c r="B21" s="183">
        <v>18</v>
      </c>
      <c r="C21" s="187" t="s">
        <v>297</v>
      </c>
      <c r="D21" s="186" t="s">
        <v>298</v>
      </c>
      <c r="E21" s="187" t="s">
        <v>347</v>
      </c>
      <c r="F21" s="187" t="s">
        <v>333</v>
      </c>
      <c r="G21" s="188" t="s">
        <v>348</v>
      </c>
    </row>
    <row r="22" spans="1:7" s="184" customFormat="1" ht="26.25">
      <c r="A22" s="182">
        <v>44017</v>
      </c>
      <c r="B22" s="183">
        <v>19</v>
      </c>
      <c r="C22" s="187" t="s">
        <v>325</v>
      </c>
      <c r="D22" s="211" t="s">
        <v>326</v>
      </c>
      <c r="E22" s="187" t="s">
        <v>351</v>
      </c>
      <c r="F22" s="187" t="s">
        <v>300</v>
      </c>
      <c r="G22" s="188" t="s">
        <v>352</v>
      </c>
    </row>
    <row r="23" spans="1:7" s="184" customFormat="1" ht="26.25">
      <c r="A23" s="182">
        <v>44019</v>
      </c>
      <c r="B23" s="183">
        <v>20</v>
      </c>
      <c r="C23" s="187" t="s">
        <v>297</v>
      </c>
      <c r="D23" s="186" t="s">
        <v>298</v>
      </c>
      <c r="E23" s="187" t="s">
        <v>353</v>
      </c>
      <c r="F23" s="187" t="s">
        <v>334</v>
      </c>
      <c r="G23" s="188" t="s">
        <v>354</v>
      </c>
    </row>
    <row r="24" spans="1:7" s="184" customFormat="1" ht="92.25">
      <c r="A24" s="182">
        <v>44019</v>
      </c>
      <c r="B24" s="183">
        <v>21</v>
      </c>
      <c r="C24" s="187" t="s">
        <v>297</v>
      </c>
      <c r="D24" s="186" t="s">
        <v>298</v>
      </c>
      <c r="E24" s="188" t="s">
        <v>357</v>
      </c>
      <c r="F24" s="187" t="s">
        <v>336</v>
      </c>
      <c r="G24" s="188" t="s">
        <v>356</v>
      </c>
    </row>
    <row r="25" spans="1:7" s="184" customFormat="1" ht="26.25">
      <c r="A25" s="182">
        <v>44037</v>
      </c>
      <c r="B25" s="183">
        <v>22</v>
      </c>
      <c r="C25" s="187" t="s">
        <v>359</v>
      </c>
      <c r="D25" s="186" t="s">
        <v>292</v>
      </c>
      <c r="E25" s="188" t="s">
        <v>292</v>
      </c>
      <c r="F25" s="187" t="s">
        <v>360</v>
      </c>
      <c r="G25" s="188" t="s">
        <v>527</v>
      </c>
    </row>
    <row r="26" spans="1:7" s="184" customFormat="1" ht="39">
      <c r="A26" s="182">
        <v>44037</v>
      </c>
      <c r="B26" s="183">
        <v>23</v>
      </c>
      <c r="C26" s="187" t="s">
        <v>321</v>
      </c>
      <c r="D26" s="211" t="s">
        <v>323</v>
      </c>
      <c r="E26" s="187" t="s">
        <v>322</v>
      </c>
      <c r="F26" s="187" t="s">
        <v>361</v>
      </c>
      <c r="G26" s="188" t="s">
        <v>362</v>
      </c>
    </row>
    <row r="27" spans="1:7" s="184" customFormat="1" ht="26.25">
      <c r="A27" s="182">
        <v>44037</v>
      </c>
      <c r="B27" s="183">
        <v>24</v>
      </c>
      <c r="C27" s="187" t="s">
        <v>313</v>
      </c>
      <c r="D27" s="186" t="s">
        <v>314</v>
      </c>
      <c r="E27" s="187" t="s">
        <v>315</v>
      </c>
      <c r="F27" s="187" t="s">
        <v>361</v>
      </c>
      <c r="G27" s="188" t="s">
        <v>363</v>
      </c>
    </row>
    <row r="28" spans="1:7" s="184" customFormat="1" ht="26.25">
      <c r="A28" s="182">
        <v>44037</v>
      </c>
      <c r="B28" s="183">
        <v>25</v>
      </c>
      <c r="C28" s="187" t="s">
        <v>313</v>
      </c>
      <c r="D28" s="186" t="s">
        <v>364</v>
      </c>
      <c r="E28" s="188" t="s">
        <v>365</v>
      </c>
      <c r="F28" s="187" t="s">
        <v>300</v>
      </c>
      <c r="G28" s="188" t="s">
        <v>366</v>
      </c>
    </row>
    <row r="29" spans="1:7" ht="12.75">
      <c r="A29" s="182"/>
      <c r="B29" s="183"/>
      <c r="C29" s="184"/>
      <c r="D29" s="186"/>
      <c r="E29" s="184"/>
      <c r="F29" s="184"/>
      <c r="G29" s="184"/>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47" r:id="rId3"/>
  <drawing r:id="rId2"/>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G32"/>
  <sheetViews>
    <sheetView zoomScale="80" zoomScaleNormal="80" zoomScalePageLayoutView="0" workbookViewId="0" topLeftCell="A1">
      <selection activeCell="C18" sqref="C18"/>
    </sheetView>
  </sheetViews>
  <sheetFormatPr defaultColWidth="9.140625" defaultRowHeight="12.75"/>
  <cols>
    <col min="1" max="1" width="10.7109375" style="220" customWidth="1"/>
    <col min="2" max="2" width="12.421875" style="221" customWidth="1"/>
    <col min="3" max="3" width="27.421875" style="220" customWidth="1"/>
    <col min="4" max="4" width="19.00390625" style="221" customWidth="1"/>
    <col min="5" max="5" width="19.8515625" style="220" customWidth="1"/>
    <col min="6" max="6" width="24.8515625" style="220" customWidth="1"/>
    <col min="7" max="7" width="59.00390625" style="220" customWidth="1"/>
    <col min="8" max="16384" width="8.8515625" style="220" customWidth="1"/>
  </cols>
  <sheetData>
    <row r="1" ht="12.75">
      <c r="A1" s="220" t="s">
        <v>373</v>
      </c>
    </row>
    <row r="2" spans="1:7" ht="12.75">
      <c r="A2" s="222" t="s">
        <v>233</v>
      </c>
      <c r="B2" s="223" t="s">
        <v>374</v>
      </c>
      <c r="C2" s="222" t="s">
        <v>235</v>
      </c>
      <c r="D2" s="223" t="s">
        <v>236</v>
      </c>
      <c r="E2" s="222" t="s">
        <v>239</v>
      </c>
      <c r="F2" s="222" t="s">
        <v>237</v>
      </c>
      <c r="G2" s="222" t="s">
        <v>238</v>
      </c>
    </row>
    <row r="3" spans="1:7" ht="12.75">
      <c r="A3" s="182">
        <v>44067</v>
      </c>
      <c r="B3" s="224">
        <v>1</v>
      </c>
      <c r="C3" s="227" t="s">
        <v>368</v>
      </c>
      <c r="D3" s="224" t="s">
        <v>368</v>
      </c>
      <c r="E3" s="227" t="s">
        <v>375</v>
      </c>
      <c r="F3" s="227" t="s">
        <v>376</v>
      </c>
      <c r="G3" s="227" t="s">
        <v>378</v>
      </c>
    </row>
    <row r="4" spans="1:7" ht="12.75">
      <c r="A4" s="182">
        <v>44067</v>
      </c>
      <c r="B4" s="183">
        <f>B3+1</f>
        <v>2</v>
      </c>
      <c r="C4" s="184" t="s">
        <v>368</v>
      </c>
      <c r="D4" s="183"/>
      <c r="E4" s="187" t="s">
        <v>387</v>
      </c>
      <c r="F4" s="187" t="s">
        <v>388</v>
      </c>
      <c r="G4" s="187" t="s">
        <v>511</v>
      </c>
    </row>
    <row r="5" spans="1:7" s="227" customFormat="1" ht="12.75">
      <c r="A5" s="182">
        <v>44067</v>
      </c>
      <c r="B5" s="183">
        <f aca="true" t="shared" si="0" ref="B5:B32">B4+1</f>
        <v>3</v>
      </c>
      <c r="C5" s="187" t="s">
        <v>391</v>
      </c>
      <c r="D5" s="186">
        <v>1.1</v>
      </c>
      <c r="E5" s="187" t="s">
        <v>392</v>
      </c>
      <c r="F5" s="187" t="s">
        <v>393</v>
      </c>
      <c r="G5" s="188" t="s">
        <v>512</v>
      </c>
    </row>
    <row r="6" spans="1:7" s="227" customFormat="1" ht="12.75">
      <c r="A6" s="182">
        <v>44067</v>
      </c>
      <c r="B6" s="183">
        <f t="shared" si="0"/>
        <v>4</v>
      </c>
      <c r="C6" s="187" t="s">
        <v>330</v>
      </c>
      <c r="D6" s="186" t="s">
        <v>395</v>
      </c>
      <c r="E6" s="187" t="s">
        <v>428</v>
      </c>
      <c r="F6" s="187" t="s">
        <v>393</v>
      </c>
      <c r="G6" s="188" t="s">
        <v>512</v>
      </c>
    </row>
    <row r="7" spans="1:7" s="225" customFormat="1" ht="39">
      <c r="A7" s="182">
        <v>44067</v>
      </c>
      <c r="B7" s="183">
        <f t="shared" si="0"/>
        <v>5</v>
      </c>
      <c r="C7" s="187" t="s">
        <v>330</v>
      </c>
      <c r="D7" s="186" t="s">
        <v>395</v>
      </c>
      <c r="E7" s="187" t="s">
        <v>432</v>
      </c>
      <c r="F7" s="187" t="s">
        <v>334</v>
      </c>
      <c r="G7" s="188" t="s">
        <v>510</v>
      </c>
    </row>
    <row r="8" spans="1:7" s="225" customFormat="1" ht="39">
      <c r="A8" s="182">
        <v>44067</v>
      </c>
      <c r="B8" s="183">
        <f t="shared" si="0"/>
        <v>6</v>
      </c>
      <c r="C8" s="187" t="s">
        <v>330</v>
      </c>
      <c r="D8" s="186" t="s">
        <v>395</v>
      </c>
      <c r="E8" s="187" t="s">
        <v>508</v>
      </c>
      <c r="F8" s="188" t="s">
        <v>507</v>
      </c>
      <c r="G8" s="188" t="s">
        <v>509</v>
      </c>
    </row>
    <row r="9" spans="1:7" s="225" customFormat="1" ht="39">
      <c r="A9" s="182">
        <v>44067</v>
      </c>
      <c r="B9" s="183">
        <f t="shared" si="0"/>
        <v>7</v>
      </c>
      <c r="C9" s="187" t="s">
        <v>330</v>
      </c>
      <c r="D9" s="186" t="s">
        <v>395</v>
      </c>
      <c r="E9" s="187" t="s">
        <v>520</v>
      </c>
      <c r="F9" s="188" t="s">
        <v>521</v>
      </c>
      <c r="G9" s="188" t="s">
        <v>522</v>
      </c>
    </row>
    <row r="10" spans="1:7" s="225" customFormat="1" ht="39">
      <c r="A10" s="182">
        <v>44067</v>
      </c>
      <c r="B10" s="183">
        <f t="shared" si="0"/>
        <v>8</v>
      </c>
      <c r="C10" s="187" t="s">
        <v>330</v>
      </c>
      <c r="D10" s="186" t="s">
        <v>395</v>
      </c>
      <c r="E10" s="187" t="s">
        <v>523</v>
      </c>
      <c r="F10" s="188" t="s">
        <v>524</v>
      </c>
      <c r="G10" s="188" t="s">
        <v>522</v>
      </c>
    </row>
    <row r="11" spans="1:7" s="225" customFormat="1" ht="12.75">
      <c r="A11" s="182">
        <v>44067</v>
      </c>
      <c r="B11" s="183">
        <f t="shared" si="0"/>
        <v>9</v>
      </c>
      <c r="C11" s="187" t="s">
        <v>330</v>
      </c>
      <c r="D11" s="186" t="s">
        <v>395</v>
      </c>
      <c r="E11" s="187" t="s">
        <v>546</v>
      </c>
      <c r="F11" s="187" t="s">
        <v>547</v>
      </c>
      <c r="G11" s="188" t="s">
        <v>548</v>
      </c>
    </row>
    <row r="12" spans="1:7" s="225" customFormat="1" ht="12.75">
      <c r="A12" s="182">
        <v>44067</v>
      </c>
      <c r="B12" s="183">
        <f t="shared" si="0"/>
        <v>10</v>
      </c>
      <c r="C12" s="227" t="s">
        <v>379</v>
      </c>
      <c r="D12" s="224" t="s">
        <v>220</v>
      </c>
      <c r="E12" s="228" t="s">
        <v>386</v>
      </c>
      <c r="F12" s="227" t="s">
        <v>384</v>
      </c>
      <c r="G12" s="227" t="s">
        <v>385</v>
      </c>
    </row>
    <row r="13" spans="1:7" s="225" customFormat="1" ht="26.25">
      <c r="A13" s="182">
        <v>44067</v>
      </c>
      <c r="B13" s="183">
        <f t="shared" si="0"/>
        <v>11</v>
      </c>
      <c r="C13" s="187" t="s">
        <v>379</v>
      </c>
      <c r="D13" s="186">
        <v>2.1</v>
      </c>
      <c r="E13" s="187" t="s">
        <v>396</v>
      </c>
      <c r="F13" s="187" t="s">
        <v>393</v>
      </c>
      <c r="G13" s="188" t="s">
        <v>512</v>
      </c>
    </row>
    <row r="14" spans="1:7" s="225" customFormat="1" ht="26.25">
      <c r="A14" s="182">
        <v>44067</v>
      </c>
      <c r="B14" s="183">
        <f t="shared" si="0"/>
        <v>12</v>
      </c>
      <c r="C14" s="187" t="s">
        <v>379</v>
      </c>
      <c r="D14" s="183">
        <v>2.1</v>
      </c>
      <c r="E14" s="187" t="s">
        <v>397</v>
      </c>
      <c r="F14" s="184" t="s">
        <v>334</v>
      </c>
      <c r="G14" s="188" t="s">
        <v>513</v>
      </c>
    </row>
    <row r="15" spans="1:7" s="225" customFormat="1" ht="26.25">
      <c r="A15" s="182">
        <v>44067</v>
      </c>
      <c r="B15" s="183">
        <f t="shared" si="0"/>
        <v>13</v>
      </c>
      <c r="C15" s="187" t="s">
        <v>398</v>
      </c>
      <c r="D15" s="186" t="s">
        <v>399</v>
      </c>
      <c r="E15" s="187" t="s">
        <v>400</v>
      </c>
      <c r="F15" s="187" t="s">
        <v>393</v>
      </c>
      <c r="G15" s="188" t="s">
        <v>512</v>
      </c>
    </row>
    <row r="16" spans="1:7" s="225" customFormat="1" ht="26.25">
      <c r="A16" s="182">
        <v>44067</v>
      </c>
      <c r="B16" s="183">
        <f t="shared" si="0"/>
        <v>14</v>
      </c>
      <c r="C16" s="187" t="s">
        <v>398</v>
      </c>
      <c r="D16" s="186" t="s">
        <v>399</v>
      </c>
      <c r="E16" s="187" t="s">
        <v>401</v>
      </c>
      <c r="F16" s="184" t="s">
        <v>334</v>
      </c>
      <c r="G16" s="188" t="s">
        <v>514</v>
      </c>
    </row>
    <row r="17" spans="1:7" s="225" customFormat="1" ht="26.25">
      <c r="A17" s="182">
        <v>44067</v>
      </c>
      <c r="B17" s="183">
        <f t="shared" si="0"/>
        <v>15</v>
      </c>
      <c r="C17" s="187" t="s">
        <v>342</v>
      </c>
      <c r="D17" s="186" t="s">
        <v>402</v>
      </c>
      <c r="E17" s="187" t="s">
        <v>403</v>
      </c>
      <c r="F17" s="187" t="s">
        <v>393</v>
      </c>
      <c r="G17" s="188" t="s">
        <v>512</v>
      </c>
    </row>
    <row r="18" spans="1:7" s="225" customFormat="1" ht="26.25">
      <c r="A18" s="182">
        <v>44067</v>
      </c>
      <c r="B18" s="183">
        <f t="shared" si="0"/>
        <v>16</v>
      </c>
      <c r="C18" s="187" t="s">
        <v>342</v>
      </c>
      <c r="D18" s="186" t="s">
        <v>404</v>
      </c>
      <c r="E18" s="187" t="s">
        <v>405</v>
      </c>
      <c r="F18" s="187" t="s">
        <v>393</v>
      </c>
      <c r="G18" s="188" t="s">
        <v>512</v>
      </c>
    </row>
    <row r="19" spans="1:7" s="225" customFormat="1" ht="26.25">
      <c r="A19" s="182">
        <v>44067</v>
      </c>
      <c r="B19" s="183">
        <f t="shared" si="0"/>
        <v>17</v>
      </c>
      <c r="C19" s="187" t="s">
        <v>406</v>
      </c>
      <c r="D19" s="186" t="s">
        <v>407</v>
      </c>
      <c r="E19" s="187" t="s">
        <v>408</v>
      </c>
      <c r="F19" s="187" t="s">
        <v>393</v>
      </c>
      <c r="G19" s="188" t="s">
        <v>512</v>
      </c>
    </row>
    <row r="20" spans="1:7" s="225" customFormat="1" ht="26.25">
      <c r="A20" s="182">
        <v>44067</v>
      </c>
      <c r="B20" s="183">
        <f t="shared" si="0"/>
        <v>18</v>
      </c>
      <c r="C20" s="187" t="s">
        <v>406</v>
      </c>
      <c r="D20" s="186" t="s">
        <v>407</v>
      </c>
      <c r="E20" s="187" t="s">
        <v>409</v>
      </c>
      <c r="F20" s="187" t="s">
        <v>393</v>
      </c>
      <c r="G20" s="188" t="s">
        <v>515</v>
      </c>
    </row>
    <row r="21" spans="1:7" s="225" customFormat="1" ht="12.75">
      <c r="A21" s="182">
        <v>44067</v>
      </c>
      <c r="B21" s="183">
        <f t="shared" si="0"/>
        <v>19</v>
      </c>
      <c r="C21" s="229" t="s">
        <v>380</v>
      </c>
      <c r="D21" s="186" t="s">
        <v>192</v>
      </c>
      <c r="E21" s="228" t="s">
        <v>382</v>
      </c>
      <c r="F21" s="229" t="s">
        <v>383</v>
      </c>
      <c r="G21" s="228" t="s">
        <v>516</v>
      </c>
    </row>
    <row r="22" spans="1:7" s="225" customFormat="1" ht="26.25">
      <c r="A22" s="182">
        <v>44067</v>
      </c>
      <c r="B22" s="183">
        <f t="shared" si="0"/>
        <v>20</v>
      </c>
      <c r="C22" s="187" t="s">
        <v>380</v>
      </c>
      <c r="D22" s="186" t="s">
        <v>410</v>
      </c>
      <c r="E22" s="187" t="s">
        <v>411</v>
      </c>
      <c r="F22" s="187" t="s">
        <v>393</v>
      </c>
      <c r="G22" s="188" t="s">
        <v>512</v>
      </c>
    </row>
    <row r="23" spans="1:7" s="225" customFormat="1" ht="12.75">
      <c r="A23" s="182">
        <v>44067</v>
      </c>
      <c r="B23" s="183">
        <f t="shared" si="0"/>
        <v>21</v>
      </c>
      <c r="C23" s="184" t="s">
        <v>380</v>
      </c>
      <c r="D23" s="183" t="s">
        <v>410</v>
      </c>
      <c r="E23" s="184" t="s">
        <v>412</v>
      </c>
      <c r="F23" s="184" t="s">
        <v>334</v>
      </c>
      <c r="G23" s="187" t="s">
        <v>517</v>
      </c>
    </row>
    <row r="24" spans="1:7" s="225" customFormat="1" ht="12.75">
      <c r="A24" s="182">
        <v>44067</v>
      </c>
      <c r="B24" s="183">
        <f t="shared" si="0"/>
        <v>22</v>
      </c>
      <c r="C24" s="184" t="s">
        <v>380</v>
      </c>
      <c r="D24" s="183" t="s">
        <v>410</v>
      </c>
      <c r="E24" s="184" t="s">
        <v>413</v>
      </c>
      <c r="F24" s="184" t="s">
        <v>334</v>
      </c>
      <c r="G24" s="187" t="s">
        <v>518</v>
      </c>
    </row>
    <row r="25" spans="1:7" s="225" customFormat="1" ht="26.25">
      <c r="A25" s="182">
        <v>44067</v>
      </c>
      <c r="B25" s="183">
        <f t="shared" si="0"/>
        <v>23</v>
      </c>
      <c r="C25" s="187" t="s">
        <v>297</v>
      </c>
      <c r="D25" s="183">
        <v>3.1</v>
      </c>
      <c r="E25" s="187" t="s">
        <v>414</v>
      </c>
      <c r="F25" s="187" t="s">
        <v>393</v>
      </c>
      <c r="G25" s="188" t="s">
        <v>512</v>
      </c>
    </row>
    <row r="26" spans="1:7" s="225" customFormat="1" ht="12.75">
      <c r="A26" s="182">
        <v>44067</v>
      </c>
      <c r="B26" s="183">
        <f t="shared" si="0"/>
        <v>24</v>
      </c>
      <c r="C26" s="187" t="s">
        <v>313</v>
      </c>
      <c r="D26" s="183" t="s">
        <v>415</v>
      </c>
      <c r="E26" s="187" t="s">
        <v>416</v>
      </c>
      <c r="F26" s="187" t="s">
        <v>393</v>
      </c>
      <c r="G26" s="187" t="s">
        <v>519</v>
      </c>
    </row>
    <row r="27" spans="1:7" s="225" customFormat="1" ht="26.25">
      <c r="A27" s="182">
        <v>44067</v>
      </c>
      <c r="B27" s="183">
        <f t="shared" si="0"/>
        <v>25</v>
      </c>
      <c r="C27" s="187" t="s">
        <v>318</v>
      </c>
      <c r="D27" s="186" t="s">
        <v>417</v>
      </c>
      <c r="E27" s="187" t="s">
        <v>418</v>
      </c>
      <c r="F27" s="187" t="s">
        <v>393</v>
      </c>
      <c r="G27" s="188" t="s">
        <v>512</v>
      </c>
    </row>
    <row r="28" spans="1:7" s="225" customFormat="1" ht="12.75">
      <c r="A28" s="182">
        <v>44067</v>
      </c>
      <c r="B28" s="183">
        <f t="shared" si="0"/>
        <v>26</v>
      </c>
      <c r="C28" s="187" t="s">
        <v>419</v>
      </c>
      <c r="D28" s="183">
        <v>4.1</v>
      </c>
      <c r="E28" s="243" t="s">
        <v>420</v>
      </c>
      <c r="F28" s="187" t="s">
        <v>393</v>
      </c>
      <c r="G28" s="188" t="s">
        <v>394</v>
      </c>
    </row>
    <row r="29" spans="1:7" s="225" customFormat="1" ht="12.75">
      <c r="A29" s="182">
        <v>44067</v>
      </c>
      <c r="B29" s="183">
        <f t="shared" si="0"/>
        <v>27</v>
      </c>
      <c r="C29" s="187" t="s">
        <v>419</v>
      </c>
      <c r="D29" s="183"/>
      <c r="E29" s="187"/>
      <c r="F29" s="243" t="s">
        <v>421</v>
      </c>
      <c r="G29" s="187" t="s">
        <v>528</v>
      </c>
    </row>
    <row r="30" spans="1:7" s="225" customFormat="1" ht="12.75">
      <c r="A30" s="182">
        <v>44067</v>
      </c>
      <c r="B30" s="183">
        <f t="shared" si="0"/>
        <v>28</v>
      </c>
      <c r="C30" s="187" t="s">
        <v>321</v>
      </c>
      <c r="D30" s="186" t="s">
        <v>422</v>
      </c>
      <c r="E30" s="187" t="s">
        <v>423</v>
      </c>
      <c r="F30" s="187" t="s">
        <v>393</v>
      </c>
      <c r="G30" s="188" t="s">
        <v>394</v>
      </c>
    </row>
    <row r="31" spans="1:7" s="225" customFormat="1" ht="12.75">
      <c r="A31" s="182">
        <v>44067</v>
      </c>
      <c r="B31" s="183">
        <f t="shared" si="0"/>
        <v>29</v>
      </c>
      <c r="C31" s="187" t="s">
        <v>424</v>
      </c>
      <c r="D31" s="183">
        <v>5.1</v>
      </c>
      <c r="E31" s="187" t="s">
        <v>425</v>
      </c>
      <c r="F31" s="187" t="s">
        <v>393</v>
      </c>
      <c r="G31" s="188" t="s">
        <v>394</v>
      </c>
    </row>
    <row r="32" spans="1:7" s="333" customFormat="1" ht="12.75">
      <c r="A32" s="329">
        <v>44132</v>
      </c>
      <c r="B32" s="330">
        <f t="shared" si="0"/>
        <v>30</v>
      </c>
      <c r="C32" s="243" t="s">
        <v>313</v>
      </c>
      <c r="D32" s="331" t="s">
        <v>415</v>
      </c>
      <c r="E32" s="243" t="s">
        <v>530</v>
      </c>
      <c r="F32" s="243" t="s">
        <v>531</v>
      </c>
      <c r="G32" s="332" t="s">
        <v>532</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0" r:id="rId2"/>
  <tableParts>
    <tablePart r:id="rId1"/>
  </tableParts>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31" customWidth="1"/>
  </cols>
  <sheetData>
    <row r="1" ht="15" customHeight="1">
      <c r="A1" s="131" t="s">
        <v>150</v>
      </c>
    </row>
    <row r="2" ht="15" customHeight="1">
      <c r="A2" s="132" t="s">
        <v>151</v>
      </c>
    </row>
    <row r="3" ht="15" customHeight="1">
      <c r="A3" s="132" t="s">
        <v>152</v>
      </c>
    </row>
    <row r="4" ht="15" customHeight="1">
      <c r="A4" s="132" t="s">
        <v>153</v>
      </c>
    </row>
    <row r="5" ht="15" customHeight="1">
      <c r="A5" s="132" t="s">
        <v>154</v>
      </c>
    </row>
    <row r="6" ht="15" customHeight="1">
      <c r="A6" s="132" t="s">
        <v>155</v>
      </c>
    </row>
    <row r="7" ht="15" customHeight="1">
      <c r="A7" s="132" t="s">
        <v>156</v>
      </c>
    </row>
    <row r="8" ht="15" customHeight="1">
      <c r="A8" s="132" t="s">
        <v>157</v>
      </c>
    </row>
    <row r="9" ht="15" customHeight="1">
      <c r="A9" s="132" t="s">
        <v>149</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B1:H36"/>
  <sheetViews>
    <sheetView zoomScale="80" zoomScaleNormal="80" zoomScalePageLayoutView="0" workbookViewId="0" topLeftCell="A1">
      <selection activeCell="A1" sqref="A1"/>
    </sheetView>
  </sheetViews>
  <sheetFormatPr defaultColWidth="9.140625" defaultRowHeight="12.75"/>
  <cols>
    <col min="1" max="1" width="12.00390625" style="40" customWidth="1"/>
    <col min="2" max="2" width="42.7109375" style="40" customWidth="1"/>
    <col min="3" max="4" width="42.8515625" style="40" customWidth="1"/>
    <col min="5" max="5" width="6.7109375" style="40" customWidth="1"/>
    <col min="6" max="8" width="19.8515625" style="40" customWidth="1"/>
    <col min="9" max="9" width="18.28125" style="40" customWidth="1"/>
    <col min="10" max="16384" width="9.140625" style="40" customWidth="1"/>
  </cols>
  <sheetData>
    <row r="1" spans="2:4" ht="34.5">
      <c r="B1" s="41" t="s">
        <v>97</v>
      </c>
      <c r="D1" s="114"/>
    </row>
    <row r="2" spans="2:3" ht="13.5">
      <c r="B2" s="151" t="str">
        <f>Tradingname</f>
        <v>EAST AUSTRALIAN PIPELINE PTY LIMITED</v>
      </c>
      <c r="C2" s="152"/>
    </row>
    <row r="3" spans="2:3" ht="13.5">
      <c r="B3" s="153" t="s">
        <v>180</v>
      </c>
      <c r="C3" s="154">
        <f>Yearending</f>
        <v>44377</v>
      </c>
    </row>
    <row r="4" ht="21">
      <c r="B4" s="38"/>
    </row>
    <row r="5" ht="15">
      <c r="B5" s="62" t="s">
        <v>183</v>
      </c>
    </row>
    <row r="6" spans="2:8" ht="12.75">
      <c r="B6" s="42"/>
      <c r="C6" s="45"/>
      <c r="D6" s="45"/>
      <c r="E6" s="46"/>
      <c r="F6" s="63"/>
      <c r="G6" s="47"/>
      <c r="H6" s="47"/>
    </row>
    <row r="7" spans="2:3" ht="13.5" customHeight="1">
      <c r="B7" s="101" t="s">
        <v>29</v>
      </c>
      <c r="C7" s="149" t="s">
        <v>560</v>
      </c>
    </row>
    <row r="8" spans="2:3" ht="13.5" customHeight="1">
      <c r="B8" s="101" t="s">
        <v>179</v>
      </c>
      <c r="C8" s="299">
        <v>2001</v>
      </c>
    </row>
    <row r="9" spans="2:3" ht="13.5" customHeight="1">
      <c r="B9" s="101" t="s">
        <v>30</v>
      </c>
      <c r="C9" s="244">
        <v>24</v>
      </c>
    </row>
    <row r="10" spans="2:3" ht="13.5" customHeight="1">
      <c r="B10" s="101" t="s">
        <v>31</v>
      </c>
      <c r="C10" s="99" t="s">
        <v>561</v>
      </c>
    </row>
    <row r="12" ht="15">
      <c r="B12" s="62" t="s">
        <v>184</v>
      </c>
    </row>
    <row r="14" spans="2:4" ht="51" customHeight="1">
      <c r="B14" s="48" t="s">
        <v>32</v>
      </c>
      <c r="C14" s="49" t="s">
        <v>127</v>
      </c>
      <c r="D14" s="49" t="s">
        <v>46</v>
      </c>
    </row>
    <row r="15" spans="2:4" ht="13.5">
      <c r="B15" s="155" t="s">
        <v>33</v>
      </c>
      <c r="C15" s="157"/>
      <c r="D15" s="157"/>
    </row>
    <row r="16" spans="2:4" ht="12.75">
      <c r="B16" s="102" t="s">
        <v>34</v>
      </c>
      <c r="C16" s="156" t="s">
        <v>445</v>
      </c>
      <c r="D16" s="156" t="s">
        <v>446</v>
      </c>
    </row>
    <row r="17" spans="2:4" ht="12.75">
      <c r="B17" s="102" t="s">
        <v>35</v>
      </c>
      <c r="C17" s="156" t="s">
        <v>445</v>
      </c>
      <c r="D17" s="156" t="s">
        <v>446</v>
      </c>
    </row>
    <row r="18" spans="2:4" ht="12.75">
      <c r="B18" s="102" t="s">
        <v>36</v>
      </c>
      <c r="C18" s="156" t="s">
        <v>445</v>
      </c>
      <c r="D18" s="156" t="s">
        <v>446</v>
      </c>
    </row>
    <row r="19" spans="2:4" ht="13.5">
      <c r="B19" s="155" t="s">
        <v>232</v>
      </c>
      <c r="C19" s="157"/>
      <c r="D19" s="157"/>
    </row>
    <row r="20" spans="2:4" ht="12.75">
      <c r="B20" s="102" t="s">
        <v>37</v>
      </c>
      <c r="C20" s="156" t="s">
        <v>446</v>
      </c>
      <c r="D20" s="156" t="s">
        <v>446</v>
      </c>
    </row>
    <row r="21" spans="2:4" ht="12.75">
      <c r="B21" s="102" t="s">
        <v>38</v>
      </c>
      <c r="C21" s="156" t="s">
        <v>446</v>
      </c>
      <c r="D21" s="156" t="s">
        <v>446</v>
      </c>
    </row>
    <row r="22" spans="2:4" ht="13.5">
      <c r="B22" s="155" t="s">
        <v>39</v>
      </c>
      <c r="C22" s="157"/>
      <c r="D22" s="157"/>
    </row>
    <row r="23" spans="2:4" ht="12.75">
      <c r="B23" s="102" t="s">
        <v>40</v>
      </c>
      <c r="C23" s="156" t="s">
        <v>445</v>
      </c>
      <c r="D23" s="156" t="s">
        <v>446</v>
      </c>
    </row>
    <row r="24" spans="2:4" ht="12.75">
      <c r="B24" s="102" t="s">
        <v>41</v>
      </c>
      <c r="C24" s="156" t="s">
        <v>445</v>
      </c>
      <c r="D24" s="156" t="s">
        <v>446</v>
      </c>
    </row>
    <row r="25" spans="2:4" ht="13.5">
      <c r="B25" s="155" t="s">
        <v>42</v>
      </c>
      <c r="C25" s="157"/>
      <c r="D25" s="157"/>
    </row>
    <row r="26" spans="2:4" ht="12.75">
      <c r="B26" s="102" t="s">
        <v>43</v>
      </c>
      <c r="C26" s="156" t="s">
        <v>445</v>
      </c>
      <c r="D26" s="156" t="s">
        <v>446</v>
      </c>
    </row>
    <row r="27" spans="2:4" ht="12.75">
      <c r="B27" s="102" t="s">
        <v>44</v>
      </c>
      <c r="C27" s="156" t="s">
        <v>445</v>
      </c>
      <c r="D27" s="156" t="s">
        <v>446</v>
      </c>
    </row>
    <row r="28" spans="2:4" ht="13.5">
      <c r="B28" s="155" t="s">
        <v>45</v>
      </c>
      <c r="C28" s="157"/>
      <c r="D28" s="157"/>
    </row>
    <row r="29" spans="2:4" ht="12.75">
      <c r="B29" s="158" t="s">
        <v>447</v>
      </c>
      <c r="C29" s="156" t="s">
        <v>445</v>
      </c>
      <c r="D29" s="156" t="s">
        <v>446</v>
      </c>
    </row>
    <row r="30" spans="2:4" ht="12.75">
      <c r="B30" s="158" t="s">
        <v>448</v>
      </c>
      <c r="C30" s="156" t="s">
        <v>445</v>
      </c>
      <c r="D30" s="156" t="s">
        <v>446</v>
      </c>
    </row>
    <row r="31" spans="2:4" ht="12.75">
      <c r="B31" s="158" t="s">
        <v>181</v>
      </c>
      <c r="C31" s="99"/>
      <c r="D31" s="99"/>
    </row>
    <row r="32" spans="2:4" ht="12.75">
      <c r="B32" s="158" t="s">
        <v>181</v>
      </c>
      <c r="C32" s="99"/>
      <c r="D32" s="99"/>
    </row>
    <row r="33" spans="2:4" ht="12.75">
      <c r="B33" s="158" t="s">
        <v>181</v>
      </c>
      <c r="C33" s="99"/>
      <c r="D33" s="99"/>
    </row>
    <row r="34" spans="2:4" ht="12.75">
      <c r="B34" s="158" t="s">
        <v>181</v>
      </c>
      <c r="C34" s="99"/>
      <c r="D34" s="99"/>
    </row>
    <row r="35" spans="2:4" ht="12.75">
      <c r="B35" s="158" t="s">
        <v>181</v>
      </c>
      <c r="C35" s="99"/>
      <c r="D35" s="99"/>
    </row>
    <row r="36" spans="2:4" ht="12.75">
      <c r="B36" s="158" t="s">
        <v>181</v>
      </c>
      <c r="C36" s="99"/>
      <c r="D36" s="99"/>
    </row>
  </sheetData>
  <sheetProtection/>
  <dataValidations count="2">
    <dataValidation type="list" allowBlank="1" showInputMessage="1" showErrorMessage="1" sqref="C10">
      <formula1>"Distribution,Transmission"</formula1>
    </dataValidation>
    <dataValidation type="list" allowBlank="1" showInputMessage="1" showErrorMessage="1" sqref="C23:D24 C16:D18 C20:D21 C26:D27">
      <formula1>"Yes,No"</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J76"/>
  <sheetViews>
    <sheetView zoomScale="80" zoomScaleNormal="80" zoomScalePageLayoutView="0" workbookViewId="0" topLeftCell="A1">
      <pane xSplit="3" ySplit="6" topLeftCell="D7" activePane="bottomRight" state="frozen"/>
      <selection pane="topLeft" activeCell="C11" sqref="C11:E11"/>
      <selection pane="topRight" activeCell="C11" sqref="C11:E11"/>
      <selection pane="bottomLeft" activeCell="C11" sqref="C11:E11"/>
      <selection pane="bottomRight" activeCell="A1" sqref="A1"/>
    </sheetView>
  </sheetViews>
  <sheetFormatPr defaultColWidth="9.140625" defaultRowHeight="12.75"/>
  <cols>
    <col min="1" max="1" width="12.00390625" style="40" customWidth="1"/>
    <col min="2" max="2" width="54.28125" style="230" customWidth="1"/>
    <col min="3" max="3" width="22.7109375" style="230" customWidth="1"/>
    <col min="4" max="22" width="17.421875" style="230" customWidth="1"/>
    <col min="23" max="25" width="11.00390625" style="230" customWidth="1"/>
    <col min="26" max="26" width="16.140625" style="230" bestFit="1" customWidth="1"/>
    <col min="27" max="28" width="11.00390625" style="230" customWidth="1"/>
    <col min="29" max="29" width="8.8515625" style="230" customWidth="1"/>
    <col min="30" max="30" width="9.140625" style="200" customWidth="1"/>
    <col min="31" max="62" width="8.8515625" style="230" customWidth="1"/>
  </cols>
  <sheetData>
    <row r="1" spans="1:30" s="230" customFormat="1" ht="20.25">
      <c r="A1" s="267"/>
      <c r="B1" s="321"/>
      <c r="C1" s="267"/>
      <c r="AD1" s="200"/>
    </row>
    <row r="2" spans="1:30" s="230" customFormat="1" ht="15">
      <c r="A2" s="267"/>
      <c r="B2" s="322"/>
      <c r="C2" s="323"/>
      <c r="AD2" s="200"/>
    </row>
    <row r="3" spans="1:62" s="230" customFormat="1" ht="15">
      <c r="A3" s="267"/>
      <c r="B3" s="324"/>
      <c r="C3" s="325"/>
      <c r="D3" s="231"/>
      <c r="E3" s="231"/>
      <c r="F3" s="231"/>
      <c r="G3" s="231"/>
      <c r="H3" s="231"/>
      <c r="I3" s="231"/>
      <c r="J3" s="231"/>
      <c r="K3" s="231"/>
      <c r="L3" s="231"/>
      <c r="M3" s="231"/>
      <c r="N3" s="231"/>
      <c r="O3" s="231"/>
      <c r="P3" s="231"/>
      <c r="Q3" s="231"/>
      <c r="R3" s="231"/>
      <c r="S3" s="231"/>
      <c r="T3" s="231"/>
      <c r="U3" s="231"/>
      <c r="V3" s="345"/>
      <c r="W3" s="231"/>
      <c r="X3" s="231"/>
      <c r="Y3" s="231"/>
      <c r="Z3" s="231"/>
      <c r="AA3" s="231"/>
      <c r="AB3" s="231"/>
      <c r="AC3" s="231"/>
      <c r="AD3" s="232"/>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row>
    <row r="4" spans="1:62" s="230" customFormat="1" ht="15.75">
      <c r="A4" s="40"/>
      <c r="B4" s="194" t="s">
        <v>260</v>
      </c>
      <c r="C4" s="193"/>
      <c r="D4" s="193"/>
      <c r="E4" s="193"/>
      <c r="F4" s="193"/>
      <c r="G4" s="193"/>
      <c r="H4" s="193"/>
      <c r="I4" s="193"/>
      <c r="J4" s="193"/>
      <c r="K4" s="193"/>
      <c r="L4" s="193"/>
      <c r="M4" s="193"/>
      <c r="N4" s="193"/>
      <c r="O4" s="193"/>
      <c r="P4" s="193"/>
      <c r="Q4" s="193"/>
      <c r="R4" s="350"/>
      <c r="S4" s="350"/>
      <c r="T4" s="350"/>
      <c r="U4" s="350"/>
      <c r="V4" s="350"/>
      <c r="W4" s="231"/>
      <c r="X4" s="231"/>
      <c r="Y4" s="231"/>
      <c r="Z4" s="231"/>
      <c r="AA4" s="231"/>
      <c r="AB4" s="231"/>
      <c r="AC4" s="231"/>
      <c r="AD4" s="232"/>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row>
    <row r="5" spans="1:62" s="230" customFormat="1" ht="12.75">
      <c r="A5" s="40"/>
      <c r="B5" s="193"/>
      <c r="C5" s="193"/>
      <c r="D5" s="390" t="s">
        <v>83</v>
      </c>
      <c r="E5" s="390"/>
      <c r="F5" s="390"/>
      <c r="G5" s="390"/>
      <c r="H5" s="390"/>
      <c r="I5" s="390"/>
      <c r="J5" s="390"/>
      <c r="K5" s="390"/>
      <c r="L5" s="390"/>
      <c r="M5" s="390"/>
      <c r="N5" s="390"/>
      <c r="O5" s="390"/>
      <c r="P5" s="390"/>
      <c r="Q5" s="390"/>
      <c r="R5" s="390"/>
      <c r="S5" s="390"/>
      <c r="T5" s="390"/>
      <c r="U5" s="390"/>
      <c r="V5" s="390"/>
      <c r="W5" s="233"/>
      <c r="X5" s="233"/>
      <c r="Y5" s="233"/>
      <c r="Z5" s="233"/>
      <c r="AA5" s="233"/>
      <c r="AB5" s="233"/>
      <c r="AC5" s="233"/>
      <c r="AD5" s="234"/>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1"/>
      <c r="BH5" s="231"/>
      <c r="BI5" s="231"/>
      <c r="BJ5" s="231"/>
    </row>
    <row r="6" spans="1:56" s="236" customFormat="1" ht="34.5" customHeight="1">
      <c r="A6" s="40"/>
      <c r="B6" s="193"/>
      <c r="C6" s="193"/>
      <c r="D6" s="212" t="str">
        <f>YEAR(Cover!$C$25)-1&amp;"-"&amp;RIGHT(YEAR(Cover!$C$25),2)</f>
        <v>2002-03</v>
      </c>
      <c r="E6" s="213" t="str">
        <f>YEAR(Cover!$C$25)&amp;"-"&amp;RIGHT(YEAR(Cover!$C$25)+1,2)</f>
        <v>2003-04</v>
      </c>
      <c r="F6" s="213" t="str">
        <f>YEAR(Cover!$C$25)+1&amp;"-"&amp;RIGHT(YEAR(Cover!$C$25)+2,2)</f>
        <v>2004-05</v>
      </c>
      <c r="G6" s="213" t="str">
        <f>YEAR(Cover!$C$25)+2&amp;"-"&amp;RIGHT(YEAR(Cover!$C$25)+3,2)</f>
        <v>2005-06</v>
      </c>
      <c r="H6" s="213" t="str">
        <f>YEAR(Cover!$C$25)+3&amp;"-"&amp;RIGHT(YEAR(Cover!$C$25)+4,2)</f>
        <v>2006-07</v>
      </c>
      <c r="I6" s="213" t="str">
        <f>YEAR(Cover!$C$25)+4&amp;"-"&amp;RIGHT(YEAR(Cover!$C$25)+5,2)</f>
        <v>2007-08</v>
      </c>
      <c r="J6" s="213" t="str">
        <f>YEAR(Cover!$C$25)+5&amp;"-"&amp;RIGHT(YEAR(Cover!$C$25)+6,2)</f>
        <v>2008-09</v>
      </c>
      <c r="K6" s="213" t="str">
        <f>YEAR(Cover!$C$25)+6&amp;"-"&amp;RIGHT(YEAR(Cover!$C$25)+7,2)</f>
        <v>2009-10</v>
      </c>
      <c r="L6" s="213" t="str">
        <f>YEAR(Cover!$C$25)+7&amp;"-"&amp;RIGHT(YEAR(Cover!$C$25)+8,2)</f>
        <v>2010-11</v>
      </c>
      <c r="M6" s="213" t="str">
        <f>YEAR(Cover!$C$25)+8&amp;"-"&amp;RIGHT(YEAR(Cover!$C$25)+9,2)</f>
        <v>2011-12</v>
      </c>
      <c r="N6" s="213" t="str">
        <f>YEAR(Cover!$C$25)+9&amp;"-"&amp;RIGHT(YEAR(Cover!$C$25)+10,2)</f>
        <v>2012-13</v>
      </c>
      <c r="O6" s="213" t="str">
        <f>YEAR(Cover!$C$25)+10&amp;"-"&amp;RIGHT(YEAR(Cover!$C$25)+11,2)</f>
        <v>2013-14</v>
      </c>
      <c r="P6" s="213" t="str">
        <f>YEAR(Cover!$C$25)+11&amp;"-"&amp;RIGHT(YEAR(Cover!$C$25)+12,2)</f>
        <v>2014-15</v>
      </c>
      <c r="Q6" s="213" t="str">
        <f>YEAR(Cover!$C$25)+12&amp;"-"&amp;RIGHT(YEAR(Cover!$C$25)+13,2)</f>
        <v>2015-16</v>
      </c>
      <c r="R6" s="213" t="str">
        <f>YEAR(Cover!$C$25)+13&amp;"-"&amp;RIGHT(YEAR(Cover!$C$25)+14,2)</f>
        <v>2016-17</v>
      </c>
      <c r="S6" s="213" t="str">
        <f>YEAR(Cover!$C$25)+14&amp;"-"&amp;RIGHT(YEAR(Cover!$C$25)+15,2)</f>
        <v>2017-18</v>
      </c>
      <c r="T6" s="213" t="str">
        <f>YEAR(Cover!$C$25)+15&amp;"-"&amp;RIGHT(YEAR(Cover!$C$25)+16,2)</f>
        <v>2018-19</v>
      </c>
      <c r="U6" s="213" t="str">
        <f>YEAR(Cover!$C$25)+16&amp;"-"&amp;RIGHT(YEAR(Cover!$C$25)+17,2)</f>
        <v>2019-20</v>
      </c>
      <c r="V6" s="213" t="str">
        <f>YEAR(Cover!$C$21)&amp;"-"&amp;RIGHT(YEAR(Cover!$C$23),2)</f>
        <v>2020-21</v>
      </c>
      <c r="W6" s="106"/>
      <c r="X6" s="106"/>
      <c r="Y6" s="106"/>
      <c r="Z6" s="106"/>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35"/>
      <c r="BC6" s="235"/>
      <c r="BD6" s="235"/>
    </row>
    <row r="7" spans="1:56" s="230" customFormat="1" ht="12.75">
      <c r="A7" s="40"/>
      <c r="B7" s="129" t="s">
        <v>253</v>
      </c>
      <c r="C7" s="48" t="s">
        <v>249</v>
      </c>
      <c r="D7" s="202"/>
      <c r="E7" s="202"/>
      <c r="F7" s="202"/>
      <c r="G7" s="202"/>
      <c r="H7" s="202"/>
      <c r="I7" s="202"/>
      <c r="J7" s="202"/>
      <c r="K7" s="202"/>
      <c r="L7" s="202"/>
      <c r="M7" s="202"/>
      <c r="N7" s="202"/>
      <c r="O7" s="202"/>
      <c r="P7" s="202"/>
      <c r="Q7" s="202"/>
      <c r="R7" s="202"/>
      <c r="S7" s="202"/>
      <c r="T7" s="202"/>
      <c r="U7" s="202"/>
      <c r="V7" s="202"/>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7"/>
      <c r="BB7" s="196"/>
      <c r="BC7" s="196"/>
      <c r="BD7" s="196"/>
    </row>
    <row r="8" spans="1:56" s="230" customFormat="1" ht="12.75">
      <c r="A8" s="40"/>
      <c r="B8" s="54" t="s">
        <v>258</v>
      </c>
      <c r="C8" s="206" t="s">
        <v>277</v>
      </c>
      <c r="D8" s="208">
        <f>'3. Statement of pipeline assets'!D90</f>
        <v>0.026889534883721034</v>
      </c>
      <c r="E8" s="208">
        <f>'3. Statement of pipeline assets'!E90</f>
        <v>0.024769992922859085</v>
      </c>
      <c r="F8" s="208">
        <f>'3. Statement of pipeline assets'!F90</f>
        <v>0.024861878453038555</v>
      </c>
      <c r="G8" s="208">
        <f>'3. Statement of pipeline assets'!G90</f>
        <v>0.03975741239892194</v>
      </c>
      <c r="H8" s="208">
        <f>'3. Statement of pipeline assets'!H90</f>
        <v>0.020738820479585085</v>
      </c>
      <c r="I8" s="208">
        <f>'3. Statement of pipeline assets'!I90</f>
        <v>0.04507936507936505</v>
      </c>
      <c r="J8" s="208">
        <f>'3. Statement of pipeline assets'!J90</f>
        <v>0.014580801944106936</v>
      </c>
      <c r="K8" s="208">
        <f>'3. Statement of pipeline assets'!K90</f>
        <v>0.030538922155688653</v>
      </c>
      <c r="L8" s="208">
        <f>'3. Statement of pipeline assets'!L90</f>
        <v>0.036025566531086683</v>
      </c>
      <c r="M8" s="208">
        <f>'3. Statement of pipeline assets'!M90</f>
        <v>0.011777902411665764</v>
      </c>
      <c r="N8" s="208">
        <f>'3. Statement of pipeline assets'!N90</f>
        <v>0.0239043824701195</v>
      </c>
      <c r="O8" s="208">
        <f>'3. Statement of pipeline assets'!O90</f>
        <v>0.03015564202334642</v>
      </c>
      <c r="P8" s="208">
        <f>'3. Statement of pipeline assets'!P90</f>
        <v>0.015108593012275628</v>
      </c>
      <c r="Q8" s="208">
        <f>'3. Statement of pipeline assets'!Q90</f>
        <v>0.01023255813953483</v>
      </c>
      <c r="R8" s="208">
        <f>'3. Statement of pipeline assets'!R90</f>
        <v>0.01933701657458564</v>
      </c>
      <c r="S8" s="208">
        <f>'3. Statement of pipeline assets'!S90</f>
        <v>0.020776874435411097</v>
      </c>
      <c r="T8" s="208">
        <f>'3. Statement of pipeline assets'!T90</f>
        <v>0.015929203539823078</v>
      </c>
      <c r="U8" s="326">
        <f>'3. Statement of pipeline assets'!U90</f>
        <v>-0.0034843205574912606</v>
      </c>
      <c r="V8" s="326">
        <f>'3. Statement of pipeline assets'!V90</f>
        <v>0.038461538461538325</v>
      </c>
      <c r="W8" s="346"/>
      <c r="X8" s="346"/>
      <c r="Y8" s="346"/>
      <c r="Z8" s="346"/>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7"/>
      <c r="BB8" s="196"/>
      <c r="BC8" s="196"/>
      <c r="BD8" s="196"/>
    </row>
    <row r="9" spans="1:56" s="230" customFormat="1" ht="12.75">
      <c r="A9" s="40"/>
      <c r="B9" s="54" t="s">
        <v>255</v>
      </c>
      <c r="C9" s="206" t="s">
        <v>279</v>
      </c>
      <c r="D9" s="277">
        <v>0.0758</v>
      </c>
      <c r="E9" s="277">
        <v>0.0758</v>
      </c>
      <c r="F9" s="277">
        <v>0.0758</v>
      </c>
      <c r="G9" s="277">
        <v>0.0867</v>
      </c>
      <c r="H9" s="277">
        <v>0.0867</v>
      </c>
      <c r="I9" s="277">
        <v>0.0867</v>
      </c>
      <c r="J9" s="277">
        <v>0.0867</v>
      </c>
      <c r="K9" s="277">
        <v>0.09826750000000001</v>
      </c>
      <c r="L9" s="277">
        <v>0.09586249999999999</v>
      </c>
      <c r="M9" s="277">
        <v>0.09355</v>
      </c>
      <c r="N9" s="277">
        <v>0.07354</v>
      </c>
      <c r="O9" s="277">
        <v>0.0753125</v>
      </c>
      <c r="P9" s="277">
        <v>0.07702500000000001</v>
      </c>
      <c r="Q9" s="277">
        <v>0.06987750000000001</v>
      </c>
      <c r="R9" s="277">
        <v>0.057187499999999995</v>
      </c>
      <c r="S9" s="277">
        <v>0.05549441560972299</v>
      </c>
      <c r="T9" s="277">
        <v>0.05716994962193098</v>
      </c>
      <c r="U9" s="277">
        <v>0.04577</v>
      </c>
      <c r="V9" s="277">
        <v>0.035444</v>
      </c>
      <c r="W9" s="346"/>
      <c r="X9" s="346"/>
      <c r="Y9" s="346"/>
      <c r="Z9" s="346"/>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7"/>
      <c r="BB9" s="196"/>
      <c r="BC9" s="196"/>
      <c r="BD9" s="196"/>
    </row>
    <row r="10" spans="1:56" s="230" customFormat="1" ht="12.75">
      <c r="A10" s="40"/>
      <c r="B10" s="54" t="s">
        <v>283</v>
      </c>
      <c r="C10" s="206" t="s">
        <v>278</v>
      </c>
      <c r="D10" s="319">
        <f>'3. Statement of pipeline assets'!D12+'3. Statement of pipeline assets'!D19+'3. Statement of pipeline assets'!D25+'3. Statement of pipeline assets'!D31+'3. Statement of pipeline assets'!D37+'3. Statement of pipeline assets'!D43+'3. Statement of pipeline assets'!D49+'3. Statement of pipeline assets'!D55+'3. Statement of pipeline assets'!D61+'3. Statement of pipeline assets'!D74+'3. Statement of pipeline assets'!D85</f>
        <v>0</v>
      </c>
      <c r="E10" s="319">
        <f>('3. Statement of pipeline assets'!E12+'3. Statement of pipeline assets'!E19+'3. Statement of pipeline assets'!E25+'3. Statement of pipeline assets'!E31+'3. Statement of pipeline assets'!E37+'3. Statement of pipeline assets'!E43+'3. Statement of pipeline assets'!E49+'3. Statement of pipeline assets'!E55+'3. Statement of pipeline assets'!E61+'3. Statement of pipeline assets'!E74+'3. Statement of pipeline assets'!E85)/1000000</f>
        <v>859.3268924120445</v>
      </c>
      <c r="F10" s="319">
        <f>('3. Statement of pipeline assets'!F12+'3. Statement of pipeline assets'!F19+'3. Statement of pipeline assets'!F25+'3. Statement of pipeline assets'!F31+'3. Statement of pipeline assets'!F37+'3. Statement of pipeline assets'!F43+'3. Statement of pipeline assets'!F49+'3. Statement of pipeline assets'!F55+'3. Statement of pipeline assets'!F61+'3. Statement of pipeline assets'!F74+'3. Statement of pipeline assets'!F85)/1000000</f>
        <v>871.1887064519658</v>
      </c>
      <c r="G10" s="319">
        <f>('3. Statement of pipeline assets'!G12+'3. Statement of pipeline assets'!G19+'3. Statement of pipeline assets'!G25+'3. Statement of pipeline assets'!G31+'3. Statement of pipeline assets'!G37+'3. Statement of pipeline assets'!G43+'3. Statement of pipeline assets'!G49+'3. Statement of pipeline assets'!G55+'3. Statement of pipeline assets'!G61+'3. Statement of pipeline assets'!G74+'3. Statement of pipeline assets'!G85)/1000000</f>
        <v>885.1154765441017</v>
      </c>
      <c r="H10" s="319">
        <f>('3. Statement of pipeline assets'!H12+'3. Statement of pipeline assets'!H19+'3. Statement of pipeline assets'!H25+'3. Statement of pipeline assets'!H31+'3. Statement of pipeline assets'!H37+'3. Statement of pipeline assets'!H43+'3. Statement of pipeline assets'!H49+'3. Statement of pipeline assets'!H55+'3. Statement of pipeline assets'!H61+'3. Statement of pipeline assets'!H74+'3. Statement of pipeline assets'!H85)/1000000</f>
        <v>909.5338823762963</v>
      </c>
      <c r="I10" s="319">
        <f>('3. Statement of pipeline assets'!I12+'3. Statement of pipeline assets'!I19+'3. Statement of pipeline assets'!I25+'3. Statement of pipeline assets'!I31+'3. Statement of pipeline assets'!I37+'3. Statement of pipeline assets'!I43+'3. Statement of pipeline assets'!I49+'3. Statement of pipeline assets'!I55+'3. Statement of pipeline assets'!I61+'3. Statement of pipeline assets'!I74+'3. Statement of pipeline assets'!I85)/1000000</f>
        <v>920.7794654318276</v>
      </c>
      <c r="J10" s="319">
        <f>('3. Statement of pipeline assets'!J12+'3. Statement of pipeline assets'!J19+'3. Statement of pipeline assets'!J25+'3. Statement of pipeline assets'!J31+'3. Statement of pipeline assets'!J37+'3. Statement of pipeline assets'!J43+'3. Statement of pipeline assets'!J49+'3. Statement of pipeline assets'!J55+'3. Statement of pipeline assets'!J61+'3. Statement of pipeline assets'!J74+'3. Statement of pipeline assets'!J85)/1000000</f>
        <v>1062.3025291943484</v>
      </c>
      <c r="K10" s="319">
        <f>('3. Statement of pipeline assets'!K12+'3. Statement of pipeline assets'!K19+'3. Statement of pipeline assets'!K25+'3. Statement of pipeline assets'!K31+'3. Statement of pipeline assets'!K37+'3. Statement of pipeline assets'!K43+'3. Statement of pipeline assets'!K49+'3. Statement of pipeline assets'!K55+'3. Statement of pipeline assets'!K61+'3. Statement of pipeline assets'!K74+'3. Statement of pipeline assets'!K85)/1000000</f>
        <v>1096.0501844360242</v>
      </c>
      <c r="L10" s="319">
        <f>('3. Statement of pipeline assets'!L12+'3. Statement of pipeline assets'!L19+'3. Statement of pipeline assets'!L25+'3. Statement of pipeline assets'!L31+'3. Statement of pipeline assets'!L37+'3. Statement of pipeline assets'!L43+'3. Statement of pipeline assets'!L49+'3. Statement of pipeline assets'!L55+'3. Statement of pipeline assets'!L61+'3. Statement of pipeline assets'!L74+'3. Statement of pipeline assets'!L85)/1000000</f>
        <v>1128.7056986785258</v>
      </c>
      <c r="M10" s="319">
        <f>('3. Statement of pipeline assets'!M12+'3. Statement of pipeline assets'!M19+'3. Statement of pipeline assets'!M25+'3. Statement of pipeline assets'!M31+'3. Statement of pipeline assets'!M37+'3. Statement of pipeline assets'!M43+'3. Statement of pipeline assets'!M49+'3. Statement of pipeline assets'!M55+'3. Statement of pipeline assets'!M61+'3. Statement of pipeline assets'!M74+'3. Statement of pipeline assets'!M85)/1000000</f>
        <v>1201.8951877097302</v>
      </c>
      <c r="N10" s="319">
        <f>('3. Statement of pipeline assets'!N12+'3. Statement of pipeline assets'!N19+'3. Statement of pipeline assets'!N25+'3. Statement of pipeline assets'!N31+'3. Statement of pipeline assets'!N37+'3. Statement of pipeline assets'!N43+'3. Statement of pipeline assets'!N49+'3. Statement of pipeline assets'!N55+'3. Statement of pipeline assets'!N61+'3. Statement of pipeline assets'!N74+'3. Statement of pipeline assets'!N85)/1000000</f>
        <v>1213.2031053498326</v>
      </c>
      <c r="O10" s="319">
        <f>('3. Statement of pipeline assets'!O12+'3. Statement of pipeline assets'!O19+'3. Statement of pipeline assets'!O25+'3. Statement of pipeline assets'!O31+'3. Statement of pipeline assets'!O37+'3. Statement of pipeline assets'!O43+'3. Statement of pipeline assets'!O49+'3. Statement of pipeline assets'!O55+'3. Statement of pipeline assets'!O61+'3. Statement of pipeline assets'!O74+'3. Statement of pipeline assets'!O85)/1000000</f>
        <v>1261.047254639714</v>
      </c>
      <c r="P10" s="319">
        <f>('3. Statement of pipeline assets'!P12+'3. Statement of pipeline assets'!P19+'3. Statement of pipeline assets'!P25+'3. Statement of pipeline assets'!P31+'3. Statement of pipeline assets'!P37+'3. Statement of pipeline assets'!P43+'3. Statement of pipeline assets'!P49+'3. Statement of pipeline assets'!P55+'3. Statement of pipeline assets'!P61+'3. Statement of pipeline assets'!P74+'3. Statement of pipeline assets'!P85)/1000000</f>
        <v>1303.4810770321615</v>
      </c>
      <c r="Q10" s="319">
        <f>('3. Statement of pipeline assets'!Q12+'3. Statement of pipeline assets'!Q19+'3. Statement of pipeline assets'!Q25+'3. Statement of pipeline assets'!Q31+'3. Statement of pipeline assets'!Q37+'3. Statement of pipeline assets'!Q43+'3. Statement of pipeline assets'!Q49+'3. Statement of pipeline assets'!Q55+'3. Statement of pipeline assets'!Q61+'3. Statement of pipeline assets'!Q74+'3. Statement of pipeline assets'!Q85)/1000000</f>
        <v>1324.8071481338773</v>
      </c>
      <c r="R10" s="319">
        <f>('3. Statement of pipeline assets'!R12+'3. Statement of pipeline assets'!R19+'3. Statement of pipeline assets'!R25+'3. Statement of pipeline assets'!R31+'3. Statement of pipeline assets'!R37+'3. Statement of pipeline assets'!R43+'3. Statement of pipeline assets'!R49+'3. Statement of pipeline assets'!R55+'3. Statement of pipeline assets'!R61+'3. Statement of pipeline assets'!R74+'3. Statement of pipeline assets'!R85)/1000000</f>
        <v>1337.3455319685795</v>
      </c>
      <c r="S10" s="319">
        <f>('3. Statement of pipeline assets'!S12+'3. Statement of pipeline assets'!S19+'3. Statement of pipeline assets'!S25+'3. Statement of pipeline assets'!S31+'3. Statement of pipeline assets'!S37+'3. Statement of pipeline assets'!S43+'3. Statement of pipeline assets'!S49+'3. Statement of pipeline assets'!S55+'3. Statement of pipeline assets'!S61+'3. Statement of pipeline assets'!S74+'3. Statement of pipeline assets'!S85)/1000000</f>
        <v>1425.373772525904</v>
      </c>
      <c r="T10" s="319">
        <f>('3. Statement of pipeline assets'!T12+'3. Statement of pipeline assets'!T19+'3. Statement of pipeline assets'!T25+'3. Statement of pipeline assets'!T31+'3. Statement of pipeline assets'!T37+'3. Statement of pipeline assets'!T43+'3. Statement of pipeline assets'!T49+'3. Statement of pipeline assets'!T55+'3. Statement of pipeline assets'!T61+'3. Statement of pipeline assets'!T74+'3. Statement of pipeline assets'!T85)/1000000</f>
        <v>1462.685643764852</v>
      </c>
      <c r="U10" s="319">
        <f>('3. Statement of pipeline assets'!U12+'3. Statement of pipeline assets'!U19+'3. Statement of pipeline assets'!U25+'3. Statement of pipeline assets'!U31+'3. Statement of pipeline assets'!U37+'3. Statement of pipeline assets'!U43+'3. Statement of pipeline assets'!U49+'3. Statement of pipeline assets'!U55+'3. Statement of pipeline assets'!U61+'3. Statement of pipeline assets'!U74+'3. Statement of pipeline assets'!U85)/1000000</f>
        <v>1473.129668796103</v>
      </c>
      <c r="V10" s="319">
        <f>('3. Statement of pipeline assets'!V12+'3. Statement of pipeline assets'!V19+'3. Statement of pipeline assets'!V25+'3. Statement of pipeline assets'!V31+'3. Statement of pipeline assets'!V37+'3. Statement of pipeline assets'!V43+'3. Statement of pipeline assets'!V49+'3. Statement of pipeline assets'!V55+'3. Statement of pipeline assets'!V61+'3. Statement of pipeline assets'!V67+'3. Statement of pipeline assets'!V74+'3. Statement of pipeline assets'!V80+'3. Statement of pipeline assets'!V85)/1000000</f>
        <v>1490.185800128002</v>
      </c>
      <c r="W10" s="346"/>
      <c r="X10" s="346"/>
      <c r="Y10" s="346"/>
      <c r="Z10" s="346"/>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7"/>
      <c r="BB10" s="196"/>
      <c r="BC10" s="196"/>
      <c r="BD10" s="196"/>
    </row>
    <row r="11" spans="1:56" s="230" customFormat="1" ht="12.75">
      <c r="A11" s="40"/>
      <c r="B11" s="54" t="s">
        <v>250</v>
      </c>
      <c r="C11" s="206" t="s">
        <v>280</v>
      </c>
      <c r="D11" s="245">
        <f>'3. Statement of pipeline assets'!D13+'3. Statement of pipeline assets'!D20+'3. Statement of pipeline assets'!D26+'3. Statement of pipeline assets'!D32+'3. Statement of pipeline assets'!D38+'3. Statement of pipeline assets'!D44+'3. Statement of pipeline assets'!D50+'3. Statement of pipeline assets'!D56+'3. Statement of pipeline assets'!D62+'3. Statement of pipeline assets'!D68+'3. Statement of pipeline assets'!D75+'3. Statement of pipeline assets'!D81+'3. Statement of pipeline assets'!D86</f>
        <v>0</v>
      </c>
      <c r="E11" s="316">
        <f>('3. Statement of pipeline assets'!E13+'3. Statement of pipeline assets'!E20+'3. Statement of pipeline assets'!E26+'3. Statement of pipeline assets'!E32+'3. Statement of pipeline assets'!E38+'3. Statement of pipeline assets'!E44+'3. Statement of pipeline assets'!E50+'3. Statement of pipeline assets'!E56+'3. Statement of pipeline assets'!E62+'3. Statement of pipeline assets'!E68+'3. Statement of pipeline assets'!E75+'3. Statement of pipeline assets'!E81+'3. Statement of pipeline assets'!E86)/1000000</f>
        <v>1.6067154072286318</v>
      </c>
      <c r="F11" s="316">
        <f>('3. Statement of pipeline assets'!F13+'3. Statement of pipeline assets'!F20+'3. Statement of pipeline assets'!F26+'3. Statement of pipeline assets'!F32+'3. Statement of pipeline assets'!F38+'3. Statement of pipeline assets'!F44+'3. Statement of pipeline assets'!F50+'3. Statement of pipeline assets'!F56+'3. Statement of pipeline assets'!F62+'3. Statement of pipeline assets'!F68+'3. Statement of pipeline assets'!F75+'3. Statement of pipeline assets'!F81+'3. Statement of pipeline assets'!F86)/1000000</f>
        <v>3.5917251660323295</v>
      </c>
      <c r="G11" s="316">
        <f>('3. Statement of pipeline assets'!G13+'3. Statement of pipeline assets'!G20+'3. Statement of pipeline assets'!G26+'3. Statement of pipeline assets'!G32+'3. Statement of pipeline assets'!G38+'3. Statement of pipeline assets'!G44+'3. Statement of pipeline assets'!G50+'3. Statement of pipeline assets'!G56+'3. Statement of pipeline assets'!G62+'3. Statement of pipeline assets'!G68+'3. Statement of pipeline assets'!G75+'3. Statement of pipeline assets'!G81+'3. Statement of pipeline assets'!G86)/1000000</f>
        <v>0.9011165539712981</v>
      </c>
      <c r="H11" s="316">
        <f>('3. Statement of pipeline assets'!H13+'3. Statement of pipeline assets'!H20+'3. Statement of pipeline assets'!H26+'3. Statement of pipeline assets'!H32+'3. Statement of pipeline assets'!H38+'3. Statement of pipeline assets'!H44+'3. Statement of pipeline assets'!H50+'3. Statement of pipeline assets'!H56+'3. Statement of pipeline assets'!H62+'3. Statement of pipeline assets'!H68+'3. Statement of pipeline assets'!H75+'3. Statement of pipeline assets'!H81+'3. Statement of pipeline assets'!H86)/1000000</f>
        <v>4.532719351264548</v>
      </c>
      <c r="I11" s="316">
        <f>('3. Statement of pipeline assets'!I13+'3. Statement of pipeline assets'!I20+'3. Statement of pipeline assets'!I26+'3. Statement of pipeline assets'!I32+'3. Statement of pipeline assets'!I38+'3. Statement of pipeline assets'!I44+'3. Statement of pipeline assets'!I50+'3. Statement of pipeline assets'!I56+'3. Statement of pipeline assets'!I62+'3. Statement of pipeline assets'!I68+'3. Statement of pipeline assets'!I75+'3. Statement of pipeline assets'!I81+'3. Statement of pipeline assets'!I86)/1000000</f>
        <v>112.57453295010306</v>
      </c>
      <c r="J11" s="316">
        <f>('3. Statement of pipeline assets'!J13+'3. Statement of pipeline assets'!J20+'3. Statement of pipeline assets'!J26+'3. Statement of pipeline assets'!J32+'3. Statement of pipeline assets'!J38+'3. Statement of pipeline assets'!J44+'3. Statement of pipeline assets'!J50+'3. Statement of pipeline assets'!J56+'3. Statement of pipeline assets'!J62+'3. Statement of pipeline assets'!J68+'3. Statement of pipeline assets'!J75+'3. Statement of pipeline assets'!J81+'3. Statement of pipeline assets'!J86)/1000000</f>
        <v>40.976888739001666</v>
      </c>
      <c r="K11" s="316">
        <f>('3. Statement of pipeline assets'!K13+'3. Statement of pipeline assets'!K20+'3. Statement of pipeline assets'!K26+'3. Statement of pipeline assets'!K32+'3. Statement of pipeline assets'!K38+'3. Statement of pipeline assets'!K44+'3. Statement of pipeline assets'!K50+'3. Statement of pipeline assets'!K56+'3. Statement of pipeline assets'!K62+'3. Statement of pipeline assets'!K68+'3. Statement of pipeline assets'!K75+'3. Statement of pipeline assets'!K81+'3. Statement of pipeline assets'!K86)/1000000</f>
        <v>23.133256852887506</v>
      </c>
      <c r="L11" s="316">
        <f>('3. Statement of pipeline assets'!L13+'3. Statement of pipeline assets'!L20+'3. Statement of pipeline assets'!L26+'3. Statement of pipeline assets'!L32+'3. Statement of pipeline assets'!L38+'3. Statement of pipeline assets'!L44+'3. Statement of pipeline assets'!L50+'3. Statement of pipeline assets'!L56+'3. Statement of pipeline assets'!L62+'3. Statement of pipeline assets'!L68+'3. Statement of pipeline assets'!L75+'3. Statement of pipeline assets'!L81+'3. Statement of pipeline assets'!L86)/1000000</f>
        <v>57.684712821824334</v>
      </c>
      <c r="M11" s="316">
        <f>('3. Statement of pipeline assets'!M13+'3. Statement of pipeline assets'!M20+'3. Statement of pipeline assets'!M26+'3. Statement of pipeline assets'!M32+'3. Statement of pipeline assets'!M38+'3. Statement of pipeline assets'!M44+'3. Statement of pipeline assets'!M50+'3. Statement of pipeline assets'!M56+'3. Statement of pipeline assets'!M62+'3. Statement of pipeline assets'!M68+'3. Statement of pipeline assets'!M75+'3. Statement of pipeline assets'!M81+'3. Statement of pipeline assets'!M86)/1000000</f>
        <v>25.029351125777996</v>
      </c>
      <c r="N11" s="316">
        <f>('3. Statement of pipeline assets'!N13+'3. Statement of pipeline assets'!N20+'3. Statement of pipeline assets'!N26+'3. Statement of pipeline assets'!N32+'3. Statement of pipeline assets'!N38+'3. Statement of pipeline assets'!N44+'3. Statement of pipeline assets'!N50+'3. Statement of pipeline assets'!N56+'3. Statement of pipeline assets'!N62+'3. Statement of pipeline assets'!N68+'3. Statement of pipeline assets'!N75+'3. Statement of pipeline assets'!N81+'3. Statement of pipeline assets'!N86)/1000000</f>
        <v>47.84591156915068</v>
      </c>
      <c r="O11" s="316">
        <f>('3. Statement of pipeline assets'!O13+'3. Statement of pipeline assets'!O20+'3. Statement of pipeline assets'!O26+'3. Statement of pipeline assets'!O32+'3. Statement of pipeline assets'!O38+'3. Statement of pipeline assets'!O44+'3. Statement of pipeline assets'!O50+'3. Statement of pipeline assets'!O56+'3. Statement of pipeline assets'!O62+'3. Statement of pipeline assets'!O68+'3. Statement of pipeline assets'!O75+'3. Statement of pipeline assets'!O81+'3. Statement of pipeline assets'!O86)/1000000</f>
        <v>34.78291177593223</v>
      </c>
      <c r="P11" s="316">
        <f>('3. Statement of pipeline assets'!P13+'3. Statement of pipeline assets'!P20+'3. Statement of pipeline assets'!P26+'3. Statement of pipeline assets'!P32+'3. Statement of pipeline assets'!P38+'3. Statement of pipeline assets'!P44+'3. Statement of pipeline assets'!P50+'3. Statement of pipeline assets'!P56+'3. Statement of pipeline assets'!P62+'3. Statement of pipeline assets'!P68+'3. Statement of pipeline assets'!P75+'3. Statement of pipeline assets'!P81+'3. Statement of pipeline assets'!P86)/1000000</f>
        <v>33.64089313490352</v>
      </c>
      <c r="Q11" s="316">
        <f>('3. Statement of pipeline assets'!Q13+'3. Statement of pipeline assets'!Q20+'3. Statement of pipeline assets'!Q26+'3. Statement of pipeline assets'!Q32+'3. Statement of pipeline assets'!Q38+'3. Statement of pipeline assets'!Q44+'3. Statement of pipeline assets'!Q50+'3. Statement of pipeline assets'!Q56+'3. Statement of pipeline assets'!Q62+'3. Statement of pipeline assets'!Q68+'3. Statement of pipeline assets'!Q75+'3. Statement of pipeline assets'!Q81+'3. Statement of pipeline assets'!Q86)/1000000</f>
        <v>32.71532290109177</v>
      </c>
      <c r="R11" s="316">
        <f>('3. Statement of pipeline assets'!R13+'3. Statement of pipeline assets'!R20+'3. Statement of pipeline assets'!R26+'3. Statement of pipeline assets'!R32+'3. Statement of pipeline assets'!R38+'3. Statement of pipeline assets'!R44+'3. Statement of pipeline assets'!R50+'3. Statement of pipeline assets'!R56+'3. Statement of pipeline assets'!R62+'3. Statement of pipeline assets'!R68+'3. Statement of pipeline assets'!R75+'3. Statement of pipeline assets'!R81+'3. Statement of pipeline assets'!R86)/1000000</f>
        <v>97.06484275451564</v>
      </c>
      <c r="S11" s="316">
        <f>('3. Statement of pipeline assets'!S13+'3. Statement of pipeline assets'!S20+'3. Statement of pipeline assets'!S26+'3. Statement of pipeline assets'!S32+'3. Statement of pipeline assets'!S38+'3. Statement of pipeline assets'!S44+'3. Statement of pipeline assets'!S50+'3. Statement of pipeline assets'!S56+'3. Statement of pipeline assets'!S62+'3. Statement of pipeline assets'!S68+'3. Statement of pipeline assets'!S75+'3. Statement of pipeline assets'!S81+'3. Statement of pipeline assets'!S86)/1000000</f>
        <v>43.92466504897382</v>
      </c>
      <c r="T11" s="316">
        <f>('3. Statement of pipeline assets'!T13+'3. Statement of pipeline assets'!T20+'3. Statement of pipeline assets'!T26+'3. Statement of pipeline assets'!T32+'3. Statement of pipeline assets'!T38+'3. Statement of pipeline assets'!T44+'3. Statement of pipeline assets'!T50+'3. Statement of pipeline assets'!T56+'3. Statement of pipeline assets'!T62+'3. Statement of pipeline assets'!T68+'3. Statement of pipeline assets'!T75+'3. Statement of pipeline assets'!T81+'3. Statement of pipeline assets'!T86)/1000000</f>
        <v>24.564963096032372</v>
      </c>
      <c r="U11" s="316">
        <f>('3. Statement of pipeline assets'!U13+'3. Statement of pipeline assets'!U20+'3. Statement of pipeline assets'!U26+'3. Statement of pipeline assets'!U32+'3. Statement of pipeline assets'!U38+'3. Statement of pipeline assets'!U44+'3. Statement of pipeline assets'!U50+'3. Statement of pipeline assets'!U56+'3. Statement of pipeline assets'!U62+'3. Statement of pipeline assets'!U68+'3. Statement of pipeline assets'!U75+'3. Statement of pipeline assets'!U81+'3. Statement of pipeline assets'!U86)/1000000</f>
        <v>61.21151224036846</v>
      </c>
      <c r="V11" s="316">
        <f>('3. Statement of pipeline assets'!V13+'3. Statement of pipeline assets'!V20+'3. Statement of pipeline assets'!V26+'3. Statement of pipeline assets'!V32+'3. Statement of pipeline assets'!V38+'3. Statement of pipeline assets'!V44+'3. Statement of pipeline assets'!V50+'3. Statement of pipeline assets'!V56+'3. Statement of pipeline assets'!V62+'3. Statement of pipeline assets'!V68+'3. Statement of pipeline assets'!V75+'3. Statement of pipeline assets'!V81+'3. Statement of pipeline assets'!V85)/1000000</f>
        <v>46.47278740103178</v>
      </c>
      <c r="W11" s="346"/>
      <c r="X11" s="346"/>
      <c r="Y11" s="346"/>
      <c r="Z11" s="346"/>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7"/>
      <c r="BB11" s="196"/>
      <c r="BC11" s="196"/>
      <c r="BD11" s="196"/>
    </row>
    <row r="12" spans="1:56" s="230" customFormat="1" ht="12.75">
      <c r="A12" s="40"/>
      <c r="B12" s="54" t="s">
        <v>272</v>
      </c>
      <c r="C12" s="206" t="s">
        <v>280</v>
      </c>
      <c r="D12" s="247"/>
      <c r="E12" s="317">
        <v>0</v>
      </c>
      <c r="F12" s="317">
        <v>0</v>
      </c>
      <c r="G12" s="317">
        <v>0</v>
      </c>
      <c r="H12" s="317">
        <v>0</v>
      </c>
      <c r="I12" s="317">
        <v>0</v>
      </c>
      <c r="J12" s="317">
        <v>0</v>
      </c>
      <c r="K12" s="317">
        <v>0</v>
      </c>
      <c r="L12" s="317">
        <v>0</v>
      </c>
      <c r="M12" s="317">
        <v>0</v>
      </c>
      <c r="N12" s="317">
        <v>0.5593249699999999</v>
      </c>
      <c r="O12" s="317">
        <v>1.5412220300000001</v>
      </c>
      <c r="P12" s="317">
        <v>0</v>
      </c>
      <c r="Q12" s="317">
        <v>0</v>
      </c>
      <c r="R12" s="317">
        <v>0</v>
      </c>
      <c r="S12" s="317">
        <v>0</v>
      </c>
      <c r="T12" s="317">
        <v>0</v>
      </c>
      <c r="U12" s="317">
        <v>0.4508796</v>
      </c>
      <c r="V12" s="318">
        <v>0.29048112</v>
      </c>
      <c r="W12" s="346"/>
      <c r="X12" s="346"/>
      <c r="Y12" s="346"/>
      <c r="Z12" s="346"/>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7"/>
      <c r="BB12" s="196"/>
      <c r="BC12" s="196"/>
      <c r="BD12" s="196"/>
    </row>
    <row r="13" spans="1:56" s="230" customFormat="1" ht="12.75">
      <c r="A13" s="40"/>
      <c r="B13" s="54" t="s">
        <v>545</v>
      </c>
      <c r="C13" s="206" t="s">
        <v>280</v>
      </c>
      <c r="D13" s="319">
        <f>-('3. Statement of pipeline assets'!D15+'3. Statement of pipeline assets'!D22+'3. Statement of pipeline assets'!D28+'3. Statement of pipeline assets'!D34+'3. Statement of pipeline assets'!D40+'3. Statement of pipeline assets'!D46+'3. Statement of pipeline assets'!D52+'3. Statement of pipeline assets'!D58+'3. Statement of pipeline assets'!D64+'3. Statement of pipeline assets'!D77)/1000000</f>
        <v>0</v>
      </c>
      <c r="E13" s="319">
        <f>-('3. Statement of pipeline assets'!E15+'3. Statement of pipeline assets'!E22+'3. Statement of pipeline assets'!E28+'3. Statement of pipeline assets'!E34+'3. Statement of pipeline assets'!E40+'3. Statement of pipeline assets'!E46+'3. Statement of pipeline assets'!E52+'3. Statement of pipeline assets'!E58+'3. Statement of pipeline assets'!E64+'3. Statement of pipeline assets'!E77)/1000000</f>
        <v>0</v>
      </c>
      <c r="F13" s="319">
        <f>-('3. Statement of pipeline assets'!F15+'3. Statement of pipeline assets'!F22+'3. Statement of pipeline assets'!F28+'3. Statement of pipeline assets'!F34+'3. Statement of pipeline assets'!F40+'3. Statement of pipeline assets'!F46+'3. Statement of pipeline assets'!F52+'3. Statement of pipeline assets'!F58+'3. Statement of pipeline assets'!F64+'3. Statement of pipeline assets'!F77)/1000000</f>
        <v>0</v>
      </c>
      <c r="G13" s="319">
        <f>-('3. Statement of pipeline assets'!G15+'3. Statement of pipeline assets'!G22+'3. Statement of pipeline assets'!G28+'3. Statement of pipeline assets'!G34+'3. Statement of pipeline assets'!G40+'3. Statement of pipeline assets'!G46+'3. Statement of pipeline assets'!G52+'3. Statement of pipeline assets'!G58+'3. Statement of pipeline assets'!G64+'3. Statement of pipeline assets'!G77)/1000000</f>
        <v>0</v>
      </c>
      <c r="H13" s="319">
        <f>-('3. Statement of pipeline assets'!H15+'3. Statement of pipeline assets'!H22+'3. Statement of pipeline assets'!H28+'3. Statement of pipeline assets'!H34+'3. Statement of pipeline assets'!H40+'3. Statement of pipeline assets'!H46+'3. Statement of pipeline assets'!H52+'3. Statement of pipeline assets'!H58+'3. Statement of pipeline assets'!H64+'3. Statement of pipeline assets'!H77)/1000000</f>
        <v>9.191084114557702E-05</v>
      </c>
      <c r="I13" s="319">
        <f>-('3. Statement of pipeline assets'!I15+'3. Statement of pipeline assets'!I22+'3. Statement of pipeline assets'!I28+'3. Statement of pipeline assets'!I34+'3. Statement of pipeline assets'!I40+'3. Statement of pipeline assets'!I46+'3. Statement of pipeline assets'!I52+'3. Statement of pipeline assets'!I58+'3. Statement of pipeline assets'!I64+'3. Statement of pipeline assets'!I77)/1000000</f>
        <v>0.00021320756887288988</v>
      </c>
      <c r="J13" s="319">
        <f>-('3. Statement of pipeline assets'!J15+'3. Statement of pipeline assets'!J22+'3. Statement of pipeline assets'!J28+'3. Statement of pipeline assets'!J34+'3. Statement of pipeline assets'!J40+'3. Statement of pipeline assets'!J46+'3. Statement of pipeline assets'!J52+'3. Statement of pipeline assets'!J58+'3. Statement of pipeline assets'!J64+'3. Statement of pipeline assets'!J77)/1000000</f>
        <v>0</v>
      </c>
      <c r="K13" s="319">
        <f>-('3. Statement of pipeline assets'!K15+'3. Statement of pipeline assets'!K22+'3. Statement of pipeline assets'!K28+'3. Statement of pipeline assets'!K34+'3. Statement of pipeline assets'!K40+'3. Statement of pipeline assets'!K46+'3. Statement of pipeline assets'!K52+'3. Statement of pipeline assets'!K58+'3. Statement of pipeline assets'!K64+'3. Statement of pipeline assets'!K77)/1000000</f>
        <v>0</v>
      </c>
      <c r="L13" s="319">
        <f>-('3. Statement of pipeline assets'!L15+'3. Statement of pipeline assets'!L22+'3. Statement of pipeline assets'!L28+'3. Statement of pipeline assets'!L34+'3. Statement of pipeline assets'!L40+'3. Statement of pipeline assets'!L46+'3. Statement of pipeline assets'!L52+'3. Statement of pipeline assets'!L58+'3. Statement of pipeline assets'!L64+'3. Statement of pipeline assets'!L77)/1000000</f>
        <v>0.007090211220139658</v>
      </c>
      <c r="M13" s="319">
        <f>-('3. Statement of pipeline assets'!M15+'3. Statement of pipeline assets'!M22+'3. Statement of pipeline assets'!M28+'3. Statement of pipeline assets'!M34+'3. Statement of pipeline assets'!M40+'3. Statement of pipeline assets'!M46+'3. Statement of pipeline assets'!M52+'3. Statement of pipeline assets'!M58+'3. Statement of pipeline assets'!M64+'3. Statement of pipeline assets'!M77)/1000000</f>
        <v>0.12553977103581715</v>
      </c>
      <c r="N13" s="319">
        <f>-('3. Statement of pipeline assets'!N15+'3. Statement of pipeline assets'!N22+'3. Statement of pipeline assets'!N28+'3. Statement of pipeline assets'!N34+'3. Statement of pipeline assets'!N40+'3. Statement of pipeline assets'!N46+'3. Statement of pipeline assets'!N52+'3. Statement of pipeline assets'!N58+'3. Statement of pipeline assets'!N64+'3. Statement of pipeline assets'!N77)/1000000</f>
        <v>0.0839652588885742</v>
      </c>
      <c r="O13" s="319">
        <f>-('3. Statement of pipeline assets'!O15+'3. Statement of pipeline assets'!O22+'3. Statement of pipeline assets'!O28+'3. Statement of pipeline assets'!O34+'3. Statement of pipeline assets'!O40+'3. Statement of pipeline assets'!O46+'3. Statement of pipeline assets'!O52+'3. Statement of pipeline assets'!O58+'3. Statement of pipeline assets'!O64+'3. Statement of pipeline assets'!O77)/1000000</f>
        <v>0.03917692583955411</v>
      </c>
      <c r="P13" s="319">
        <f>-('3. Statement of pipeline assets'!P15+'3. Statement of pipeline assets'!P22+'3. Statement of pipeline assets'!P28+'3. Statement of pipeline assets'!P34+'3. Statement of pipeline assets'!P40+'3. Statement of pipeline assets'!P46+'3. Statement of pipeline assets'!P52+'3. Statement of pipeline assets'!P58+'3. Statement of pipeline assets'!P64+'3. Statement of pipeline assets'!P77)/1000000</f>
        <v>0.04528266401207768</v>
      </c>
      <c r="Q13" s="319">
        <f>-('3. Statement of pipeline assets'!Q15+'3. Statement of pipeline assets'!Q22+'3. Statement of pipeline assets'!Q28+'3. Statement of pipeline assets'!Q34+'3. Statement of pipeline assets'!Q40+'3. Statement of pipeline assets'!Q46+'3. Statement of pipeline assets'!Q52+'3. Statement of pipeline assets'!Q58+'3. Statement of pipeline assets'!Q64+'3. Statement of pipeline assets'!Q77)/1000000</f>
        <v>0.018552983926478972</v>
      </c>
      <c r="R13" s="319">
        <f>-('3. Statement of pipeline assets'!R15+'3. Statement of pipeline assets'!R22+'3. Statement of pipeline assets'!R28+'3. Statement of pipeline assets'!R34+'3. Statement of pipeline assets'!R40+'3. Statement of pipeline assets'!R46+'3. Statement of pipeline assets'!R52+'3. Statement of pipeline assets'!R58+'3. Statement of pipeline assets'!R64+'3. Statement of pipeline assets'!R77)/1000000</f>
        <v>0.05515850043415011</v>
      </c>
      <c r="S13" s="319">
        <f>-('3. Statement of pipeline assets'!S15+'3. Statement of pipeline assets'!S22+'3. Statement of pipeline assets'!S28+'3. Statement of pipeline assets'!S34+'3. Statement of pipeline assets'!S40+'3. Statement of pipeline assets'!S46+'3. Statement of pipeline assets'!S52+'3. Statement of pipeline assets'!S58+'3. Statement of pipeline assets'!S64+'3. Statement of pipeline assets'!S77)/1000000</f>
        <v>0.020995968963620805</v>
      </c>
      <c r="T13" s="319">
        <f>-('3. Statement of pipeline assets'!T15+'3. Statement of pipeline assets'!T22+'3. Statement of pipeline assets'!T28+'3. Statement of pipeline assets'!T34+'3. Statement of pipeline assets'!T40+'3. Statement of pipeline assets'!T46+'3. Statement of pipeline assets'!T52+'3. Statement of pipeline assets'!T58+'3. Statement of pipeline assets'!T64+'3. Statement of pipeline assets'!T77)/1000000</f>
        <v>0.019970502604583443</v>
      </c>
      <c r="U13" s="319">
        <f>-('3. Statement of pipeline assets'!U15+'3. Statement of pipeline assets'!U22+'3. Statement of pipeline assets'!U28+'3. Statement of pipeline assets'!U34+'3. Statement of pipeline assets'!U40+'3. Statement of pipeline assets'!U46+'3. Statement of pipeline assets'!U52+'3. Statement of pipeline assets'!U58+'3. Statement of pipeline assets'!U64+'3. Statement of pipeline assets'!U77)/1000000</f>
        <v>0.022664922730465144</v>
      </c>
      <c r="V13" s="319">
        <f>-('3. Statement of pipeline assets'!V15+'3. Statement of pipeline assets'!V22+'3. Statement of pipeline assets'!V28+'3. Statement of pipeline assets'!V34+'3. Statement of pipeline assets'!V40+'3. Statement of pipeline assets'!V46+'3. Statement of pipeline assets'!V52+'3. Statement of pipeline assets'!V58+'3. Statement of pipeline assets'!V64+'3. Statement of pipeline assets'!V77)/1000000</f>
        <v>0</v>
      </c>
      <c r="W13" s="346"/>
      <c r="X13" s="346"/>
      <c r="Y13" s="346"/>
      <c r="Z13" s="346"/>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7"/>
      <c r="BB13" s="196"/>
      <c r="BC13" s="196"/>
      <c r="BD13" s="196"/>
    </row>
    <row r="14" spans="1:56" s="230" customFormat="1" ht="12.75">
      <c r="A14" s="40"/>
      <c r="B14" s="54" t="s">
        <v>256</v>
      </c>
      <c r="C14" s="206" t="s">
        <v>280</v>
      </c>
      <c r="D14" s="246"/>
      <c r="E14" s="317">
        <v>34.326372119999995</v>
      </c>
      <c r="F14" s="317">
        <v>55.25093711</v>
      </c>
      <c r="G14" s="317">
        <v>37.0871707</v>
      </c>
      <c r="H14" s="317">
        <v>27.639799274516132</v>
      </c>
      <c r="I14" s="317">
        <v>19.956940812323374</v>
      </c>
      <c r="J14" s="317">
        <v>19.810158756652683</v>
      </c>
      <c r="K14" s="317">
        <v>21.90658630268695</v>
      </c>
      <c r="L14" s="317">
        <v>23.926411668164018</v>
      </c>
      <c r="M14" s="317">
        <v>26.367761834609265</v>
      </c>
      <c r="N14" s="317">
        <v>27.05434708771659</v>
      </c>
      <c r="O14" s="317">
        <v>25.492795404516507</v>
      </c>
      <c r="P14" s="317">
        <v>24.869648163523316</v>
      </c>
      <c r="Q14" s="317">
        <v>28.645421003076326</v>
      </c>
      <c r="R14" s="317">
        <v>28.591020231334</v>
      </c>
      <c r="S14" s="317">
        <v>21.436958813717744</v>
      </c>
      <c r="T14" s="317">
        <v>26.109733846482293</v>
      </c>
      <c r="U14" s="317">
        <f>-(SUM('2. Revenues and expenses'!I19:I20,'2. Revenues and expenses'!I22:I26,'2. Revenues and expenses'!I37)+'2. Revenues and expenses'!I34)/1000000</f>
        <v>25.13869595198298</v>
      </c>
      <c r="V14" s="317">
        <f>-(SUM('2. Revenues and expenses'!F19:F20,'2. Revenues and expenses'!F22:F26,'2. Revenues and expenses'!F37)+'2. Revenues and expenses'!F34)/1000000</f>
        <v>31.4375219145738</v>
      </c>
      <c r="W14" s="346"/>
      <c r="X14" s="346"/>
      <c r="Y14" s="346"/>
      <c r="Z14" s="349"/>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7"/>
      <c r="BB14" s="196"/>
      <c r="BC14" s="196"/>
      <c r="BD14" s="196"/>
    </row>
    <row r="15" spans="1:56" s="230" customFormat="1" ht="12.75">
      <c r="A15" s="40"/>
      <c r="B15" s="54" t="s">
        <v>281</v>
      </c>
      <c r="C15" s="206" t="s">
        <v>280</v>
      </c>
      <c r="D15" s="247"/>
      <c r="E15" s="317">
        <v>0</v>
      </c>
      <c r="F15" s="317">
        <v>0</v>
      </c>
      <c r="G15" s="317">
        <v>0</v>
      </c>
      <c r="H15" s="317">
        <v>0</v>
      </c>
      <c r="I15" s="317">
        <v>0</v>
      </c>
      <c r="J15" s="317">
        <v>0</v>
      </c>
      <c r="K15" s="317">
        <v>0</v>
      </c>
      <c r="L15" s="317">
        <v>0</v>
      </c>
      <c r="M15" s="317">
        <v>0</v>
      </c>
      <c r="N15" s="317">
        <v>0</v>
      </c>
      <c r="O15" s="317">
        <v>0</v>
      </c>
      <c r="P15" s="317">
        <v>0.8558435189729572</v>
      </c>
      <c r="Q15" s="317">
        <v>1.6343698035770284</v>
      </c>
      <c r="R15" s="317">
        <v>0</v>
      </c>
      <c r="S15" s="317">
        <v>0</v>
      </c>
      <c r="T15" s="317">
        <v>0</v>
      </c>
      <c r="U15" s="317">
        <v>1.258281265877599</v>
      </c>
      <c r="V15" s="317">
        <v>0</v>
      </c>
      <c r="W15" s="346"/>
      <c r="X15" s="346"/>
      <c r="Y15" s="346"/>
      <c r="Z15" s="348"/>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7"/>
      <c r="BB15" s="196"/>
      <c r="BC15" s="196"/>
      <c r="BD15" s="196"/>
    </row>
    <row r="16" spans="1:56" s="230" customFormat="1" ht="12.75">
      <c r="A16" s="40"/>
      <c r="B16" s="54"/>
      <c r="C16" s="201"/>
      <c r="D16" s="248"/>
      <c r="E16" s="248"/>
      <c r="F16" s="248"/>
      <c r="G16" s="248"/>
      <c r="H16" s="248"/>
      <c r="I16" s="248"/>
      <c r="J16" s="248"/>
      <c r="K16" s="248"/>
      <c r="L16" s="248"/>
      <c r="M16" s="248"/>
      <c r="N16" s="248"/>
      <c r="O16" s="248"/>
      <c r="P16" s="248"/>
      <c r="Q16" s="248"/>
      <c r="R16" s="248"/>
      <c r="S16" s="248"/>
      <c r="T16" s="248"/>
      <c r="U16" s="248"/>
      <c r="V16" s="248"/>
      <c r="W16" s="346"/>
      <c r="X16" s="346"/>
      <c r="Y16" s="346"/>
      <c r="Z16" s="346"/>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7"/>
      <c r="BB16" s="196"/>
      <c r="BC16" s="196"/>
      <c r="BD16" s="196"/>
    </row>
    <row r="17" spans="1:56" s="230" customFormat="1" ht="12.75">
      <c r="A17" s="40"/>
      <c r="B17" s="209"/>
      <c r="C17" s="201"/>
      <c r="D17" s="248"/>
      <c r="E17" s="248"/>
      <c r="F17" s="248"/>
      <c r="G17" s="248"/>
      <c r="H17" s="248"/>
      <c r="I17" s="248"/>
      <c r="J17" s="248"/>
      <c r="K17" s="248"/>
      <c r="L17" s="248"/>
      <c r="M17" s="248"/>
      <c r="N17" s="248"/>
      <c r="O17" s="248"/>
      <c r="P17" s="248"/>
      <c r="Q17" s="248"/>
      <c r="R17" s="248"/>
      <c r="S17" s="248"/>
      <c r="T17" s="248"/>
      <c r="U17" s="248"/>
      <c r="V17" s="248"/>
      <c r="W17" s="346"/>
      <c r="X17" s="346"/>
      <c r="Y17" s="346"/>
      <c r="Z17" s="346"/>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7"/>
      <c r="BB17" s="196"/>
      <c r="BC17" s="196"/>
      <c r="BD17" s="196"/>
    </row>
    <row r="18" spans="1:56" s="230" customFormat="1" ht="12.75">
      <c r="A18" s="40"/>
      <c r="B18" s="129" t="s">
        <v>287</v>
      </c>
      <c r="C18" s="203" t="s">
        <v>132</v>
      </c>
      <c r="D18" s="249"/>
      <c r="E18" s="249"/>
      <c r="F18" s="249"/>
      <c r="G18" s="249"/>
      <c r="H18" s="249"/>
      <c r="I18" s="249"/>
      <c r="J18" s="249"/>
      <c r="K18" s="249"/>
      <c r="L18" s="249"/>
      <c r="M18" s="249"/>
      <c r="N18" s="249"/>
      <c r="O18" s="249"/>
      <c r="P18" s="249"/>
      <c r="Q18" s="249"/>
      <c r="R18" s="249"/>
      <c r="S18" s="249"/>
      <c r="T18" s="249"/>
      <c r="U18" s="249"/>
      <c r="V18" s="249"/>
      <c r="W18" s="346"/>
      <c r="X18" s="346"/>
      <c r="Y18" s="346"/>
      <c r="Z18" s="346"/>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7"/>
      <c r="BB18" s="196"/>
      <c r="BC18" s="196"/>
      <c r="BD18" s="196"/>
    </row>
    <row r="19" spans="1:56" s="230" customFormat="1" ht="12.75">
      <c r="A19" s="40"/>
      <c r="B19" s="54" t="s">
        <v>247</v>
      </c>
      <c r="C19" s="206" t="s">
        <v>252</v>
      </c>
      <c r="D19" s="245">
        <f>(D10-D12-D13)*D9</f>
        <v>0</v>
      </c>
      <c r="E19" s="316">
        <f>(E10-E12-E13)*E9</f>
        <v>65.13697844483298</v>
      </c>
      <c r="F19" s="316">
        <f>(F10-F12-F13)*F9</f>
        <v>66.03610394905901</v>
      </c>
      <c r="G19" s="316">
        <f>(G10-G12-G13)*G9</f>
        <v>76.73951181637362</v>
      </c>
      <c r="H19" s="316">
        <f aca="true" t="shared" si="0" ref="H19:S19">(H10-H12-H13)*H9</f>
        <v>78.85657963335497</v>
      </c>
      <c r="I19" s="316">
        <f>(I10-I12-I13)*I9</f>
        <v>79.83156116784323</v>
      </c>
      <c r="J19" s="316">
        <f t="shared" si="0"/>
        <v>92.10162928115001</v>
      </c>
      <c r="K19" s="316">
        <f t="shared" si="0"/>
        <v>107.70611149906702</v>
      </c>
      <c r="L19" s="316">
        <f t="shared" si="0"/>
        <v>108.19987035419707</v>
      </c>
      <c r="M19" s="316">
        <f t="shared" si="0"/>
        <v>112.42555056466485</v>
      </c>
      <c r="N19" s="316">
        <f t="shared" si="0"/>
        <v>89.17164880399422</v>
      </c>
      <c r="O19" s="316">
        <f t="shared" si="0"/>
        <v>94.85359756869181</v>
      </c>
      <c r="P19" s="316">
        <f t="shared" si="0"/>
        <v>100.39714206120672</v>
      </c>
      <c r="Q19" s="316">
        <f t="shared" si="0"/>
        <v>92.5729150575907</v>
      </c>
      <c r="R19" s="316">
        <f t="shared" si="0"/>
        <v>76.47629323270955</v>
      </c>
      <c r="S19" s="316">
        <f t="shared" si="0"/>
        <v>79.09911937272348</v>
      </c>
      <c r="T19" s="316">
        <f>(T10-T12-T13)*T9</f>
        <v>83.62052285413044</v>
      </c>
      <c r="U19" s="316">
        <f>(U10-U12-U13)*U9</f>
        <v>67.40347080799226</v>
      </c>
      <c r="V19" s="316">
        <f>(V10-V12-V13)*V9</f>
        <v>52.807849686919624</v>
      </c>
      <c r="W19" s="346"/>
      <c r="X19" s="346"/>
      <c r="Y19" s="346"/>
      <c r="Z19" s="346"/>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7"/>
      <c r="BB19" s="196"/>
      <c r="BC19" s="196"/>
      <c r="BD19" s="196"/>
    </row>
    <row r="20" spans="1:56" s="230" customFormat="1" ht="12.75">
      <c r="A20" s="40"/>
      <c r="B20" s="54" t="s">
        <v>285</v>
      </c>
      <c r="C20" s="206" t="s">
        <v>257</v>
      </c>
      <c r="D20" s="245">
        <f>-('3. Statement of pipeline assets'!D16+'3. Statement of pipeline assets'!D21+'3. Statement of pipeline assets'!D27+'3. Statement of pipeline assets'!D33+'3. Statement of pipeline assets'!D39+'3. Statement of pipeline assets'!D45+'3. Statement of pipeline assets'!D51+'3. Statement of pipeline assets'!D57+'3. Statement of pipeline assets'!D63+'3. Statement of pipeline assets'!D69+'3. Statement of pipeline assets'!D76+'3. Statement of pipeline assets'!D82)</f>
        <v>0</v>
      </c>
      <c r="E20" s="319">
        <f>-('3. Statement of pipeline assets'!E16+'3. Statement of pipeline assets'!E21+'3. Statement of pipeline assets'!E27+'3. Statement of pipeline assets'!E33+'3. Statement of pipeline assets'!E39+'3. Statement of pipeline assets'!E45+'3. Statement of pipeline assets'!E51+'3. Statement of pipeline assets'!E57+'3. Statement of pipeline assets'!E63+'3. Statement of pipeline assets'!E69+'3. Statement of pipeline assets'!E76+'3. Statement of pipeline assets'!E82)/1000000</f>
        <v>-10.255098632692862</v>
      </c>
      <c r="F20" s="319">
        <f>-('3. Statement of pipeline assets'!F16+'3. Statement of pipeline assets'!F21+'3. Statement of pipeline assets'!F27+'3. Statement of pipeline assets'!F33+'3. Statement of pipeline assets'!F39+'3. Statement of pipeline assets'!F45+'3. Statement of pipeline assets'!F51+'3. Statement of pipeline assets'!F57+'3. Statement of pipeline assets'!F63+'3. Statement of pipeline assets'!F69+'3. Statement of pipeline assets'!F76+'3. Statement of pipeline assets'!F82)/1000000</f>
        <v>-10.335044926103546</v>
      </c>
      <c r="G20" s="319">
        <f>-('3. Statement of pipeline assets'!G16+'3. Statement of pipeline assets'!G21+'3. Statement of pipeline assets'!G27+'3. Statement of pipeline assets'!G33+'3. Statement of pipeline assets'!G39+'3. Statement of pipeline assets'!G45+'3. Statement of pipeline assets'!G51+'3. Statement of pipeline assets'!G57+'3. Statement of pipeline assets'!G63+'3. Statement of pipeline assets'!G69+'3. Statement of pipeline assets'!G76+'3. Statement of pipeline assets'!G82)/1000000</f>
        <v>-23.517289278223473</v>
      </c>
      <c r="H20" s="319">
        <f>-('3. Statement of pipeline assets'!H16+'3. Statement of pipeline assets'!H21+'3. Statement of pipeline assets'!H27+'3. Statement of pipeline assets'!H33+'3. Statement of pipeline assets'!H39+'3. Statement of pipeline assets'!H45+'3. Statement of pipeline assets'!H51+'3. Statement of pipeline assets'!H57+'3. Statement of pipeline assets'!H63+'3. Statement of pipeline assets'!H69+'3. Statement of pipeline assets'!H76+'3. Statement of pipeline assets'!H82)/1000000</f>
        <v>-6.712955615107589</v>
      </c>
      <c r="I20" s="319">
        <f>-('3. Statement of pipeline assets'!I16+'3. Statement of pipeline assets'!I21+'3. Statement of pipeline assets'!I27+'3. Statement of pipeline assets'!I33+'3. Statement of pipeline assets'!I39+'3. Statement of pipeline assets'!I45+'3. Statement of pipeline assets'!I51+'3. Statement of pipeline assets'!I57+'3. Statement of pipeline assets'!I63+'3. Statement of pipeline assets'!I69+'3. Statement of pipeline assets'!I76+'3. Statement of pipeline assets'!I82)/1000000</f>
        <v>-28.948744019986748</v>
      </c>
      <c r="J20" s="319">
        <f>-('3. Statement of pipeline assets'!J16+'3. Statement of pipeline assets'!J21+'3. Statement of pipeline assets'!J27+'3. Statement of pipeline assets'!J33+'3. Statement of pipeline assets'!J39+'3. Statement of pipeline assets'!J45+'3. Statement of pipeline assets'!J51+'3. Statement of pipeline assets'!J57+'3. Statement of pipeline assets'!J63+'3. Statement of pipeline assets'!J69+'3. Statement of pipeline assets'!J76+'3. Statement of pipeline assets'!J82)/1000000</f>
        <v>7.229233497325887</v>
      </c>
      <c r="K20" s="319">
        <f>-('3. Statement of pipeline assets'!K16+'3. Statement of pipeline assets'!K21+'3. Statement of pipeline assets'!K27+'3. Statement of pipeline assets'!K33+'3. Statement of pipeline assets'!K39+'3. Statement of pipeline assets'!K45+'3. Statement of pipeline assets'!K51+'3. Statement of pipeline assets'!K57+'3. Statement of pipeline assets'!K63+'3. Statement of pipeline assets'!K69+'3. Statement of pipeline assets'!K76+'3. Statement of pipeline assets'!K82)/1000000</f>
        <v>-9.522257389613983</v>
      </c>
      <c r="L20" s="319">
        <f>-('3. Statement of pipeline assets'!L16+'3. Statement of pipeline assets'!L21+'3. Statement of pipeline assets'!L27+'3. Statement of pipeline assets'!L33+'3. Statement of pipeline assets'!L39+'3. Statement of pipeline assets'!L45+'3. Statement of pipeline assets'!L51+'3. Statement of pipeline assets'!L57+'3. Statement of pipeline assets'!L63+'3. Statement of pipeline assets'!L69+'3. Statement of pipeline assets'!L76+'3. Statement of pipeline assets'!L82)/1000000</f>
        <v>-15.51186642060025</v>
      </c>
      <c r="M20" s="319">
        <f>-('3. Statement of pipeline assets'!M16+'3. Statement of pipeline assets'!M21+'3. Statement of pipeline assets'!M27+'3. Statement of pipeline assets'!M33+'3. Statement of pipeline assets'!M39+'3. Statement of pipeline assets'!M45+'3. Statement of pipeline assets'!M51+'3. Statement of pipeline assets'!M57+'3. Statement of pipeline assets'!M63+'3. Statement of pipeline assets'!M69+'3. Statement of pipeline assets'!M76+'3. Statement of pipeline assets'!M82)/1000000</f>
        <v>13.595893714640088</v>
      </c>
      <c r="N20" s="319">
        <f>-('3. Statement of pipeline assets'!N16+'3. Statement of pipeline assets'!N21+'3. Statement of pipeline assets'!N27+'3. Statement of pipeline assets'!N33+'3. Statement of pipeline assets'!N39+'3. Statement of pipeline assets'!N45+'3. Statement of pipeline assets'!N51+'3. Statement of pipeline assets'!N57+'3. Statement of pipeline assets'!N63+'3. Statement of pipeline assets'!N69+'3. Statement of pipeline assets'!N76+'3. Statement of pipeline assets'!N82)/1000000</f>
        <v>-0.08220297961978218</v>
      </c>
      <c r="O20" s="319">
        <f>-('3. Statement of pipeline assets'!O16+'3. Statement of pipeline assets'!O21+'3. Statement of pipeline assets'!O27+'3. Statement of pipeline assets'!O33+'3. Statement of pipeline assets'!O39+'3. Statement of pipeline assets'!O45+'3. Statement of pipeline assets'!O51+'3. Statement of pipeline assets'!O57+'3. Statement of pipeline assets'!O63+'3. Statement of pipeline assets'!O69+'3. Statement of pipeline assets'!O76+'3. Statement of pipeline assets'!O82)/1000000</f>
        <v>-7.6900875423547514</v>
      </c>
      <c r="P20" s="319">
        <f>-('3. Statement of pipeline assets'!P16+'3. Statement of pipeline assets'!P21+'3. Statement of pipeline assets'!P27+'3. Statement of pipeline assets'!P33+'3. Statement of pipeline assets'!P39+'3. Statement of pipeline assets'!P45+'3. Statement of pipeline assets'!P51+'3. Statement of pipeline assets'!P57+'3. Statement of pipeline assets'!P63+'3. Statement of pipeline assets'!P69+'3. Statement of pipeline assets'!P76+'3. Statement of pipeline assets'!P82)/1000000</f>
        <v>12.269539369175918</v>
      </c>
      <c r="Q20" s="319">
        <f>-('3. Statement of pipeline assets'!Q16+'3. Statement of pipeline assets'!Q21+'3. Statement of pipeline assets'!Q27+'3. Statement of pipeline assets'!Q33+'3. Statement of pipeline assets'!Q39+'3. Statement of pipeline assets'!Q45+'3. Statement of pipeline assets'!Q51+'3. Statement of pipeline assets'!Q57+'3. Statement of pipeline assets'!Q63+'3. Statement of pipeline assets'!Q69+'3. Statement of pipeline assets'!Q76+'3. Statement of pipeline assets'!Q82)/1000000</f>
        <v>20.158386082462602</v>
      </c>
      <c r="R20" s="319">
        <f>-('3. Statement of pipeline assets'!R16+'3. Statement of pipeline assets'!R21+'3. Statement of pipeline assets'!R27+'3. Statement of pipeline assets'!R33+'3. Statement of pipeline assets'!R39+'3. Statement of pipeline assets'!R45+'3. Statement of pipeline assets'!R51+'3. Statement of pipeline assets'!R57+'3. Statement of pipeline assets'!R63+'3. Statement of pipeline assets'!R69+'3. Statement of pipeline assets'!R76+'3. Statement of pipeline assets'!R82)/1000000</f>
        <v>8.981443696757031</v>
      </c>
      <c r="S20" s="319">
        <f>-('3. Statement of pipeline assets'!S16+'3. Statement of pipeline assets'!S21+'3. Statement of pipeline assets'!S27+'3. Statement of pipeline assets'!S33+'3. Statement of pipeline assets'!S39+'3. Statement of pipeline assets'!S45+'3. Statement of pipeline assets'!S51+'3. Statement of pipeline assets'!S57+'3. Statement of pipeline assets'!S63+'3. Statement of pipeline assets'!S69+'3. Statement of pipeline assets'!S76+'3. Statement of pipeline assets'!S82)/1000000</f>
        <v>6.591797841062193</v>
      </c>
      <c r="T20" s="319">
        <f>-('3. Statement of pipeline assets'!T16+'3. Statement of pipeline assets'!T21+'3. Statement of pipeline assets'!T27+'3. Statement of pipeline assets'!T33+'3. Statement of pipeline assets'!T39+'3. Statement of pipeline assets'!T45+'3. Statement of pipeline assets'!T51+'3. Statement of pipeline assets'!T57+'3. Statement of pipeline assets'!T63+'3. Statement of pipeline assets'!T69+'3. Statement of pipeline assets'!T76+'3. Statement of pipeline assets'!T82)/1000000</f>
        <v>14.100967562176677</v>
      </c>
      <c r="U20" s="319">
        <f>-('3. Statement of pipeline assets'!U16+'3. Statement of pipeline assets'!U21+'3. Statement of pipeline assets'!U27+'3. Statement of pipeline assets'!U33+'3. Statement of pipeline assets'!U39+'3. Statement of pipeline assets'!U45+'3. Statement of pipeline assets'!U51+'3. Statement of pipeline assets'!U57+'3. Statement of pipeline assets'!U63+'3. Statement of pipeline assets'!U69+'3. Statement of pipeline assets'!U76+'3. Statement of pipeline assets'!U82)/1000000</f>
        <v>44.13271598573903</v>
      </c>
      <c r="V20" s="319">
        <f>-('3. Statement of pipeline assets'!V16+'3. Statement of pipeline assets'!V21+'3. Statement of pipeline assets'!V27+'3. Statement of pipeline assets'!V33+'3. Statement of pipeline assets'!V39+'3. Statement of pipeline assets'!V45+'3. Statement of pipeline assets'!V51+'3. Statement of pipeline assets'!V57+'3. Statement of pipeline assets'!V63+'3. Statement of pipeline assets'!V69+'3. Statement of pipeline assets'!V76+'3. Statement of pipeline assets'!V82)/1000000</f>
        <v>-28.188360835160243</v>
      </c>
      <c r="W20" s="346"/>
      <c r="X20" s="346"/>
      <c r="Y20" s="346"/>
      <c r="Z20" s="346"/>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7"/>
      <c r="BB20" s="196"/>
      <c r="BC20" s="196"/>
      <c r="BD20" s="196"/>
    </row>
    <row r="21" spans="1:56" s="230" customFormat="1" ht="12.75">
      <c r="A21" s="40"/>
      <c r="B21" s="54" t="s">
        <v>248</v>
      </c>
      <c r="C21" s="206" t="s">
        <v>251</v>
      </c>
      <c r="D21" s="245">
        <f aca="true" t="shared" si="1" ref="D21:G22">D14</f>
        <v>0</v>
      </c>
      <c r="E21" s="319">
        <f t="shared" si="1"/>
        <v>34.326372119999995</v>
      </c>
      <c r="F21" s="319">
        <f t="shared" si="1"/>
        <v>55.25093711</v>
      </c>
      <c r="G21" s="319">
        <f t="shared" si="1"/>
        <v>37.0871707</v>
      </c>
      <c r="H21" s="319">
        <f aca="true" t="shared" si="2" ref="H21:T21">H14</f>
        <v>27.639799274516132</v>
      </c>
      <c r="I21" s="319">
        <f t="shared" si="2"/>
        <v>19.956940812323374</v>
      </c>
      <c r="J21" s="319">
        <f t="shared" si="2"/>
        <v>19.810158756652683</v>
      </c>
      <c r="K21" s="319">
        <f t="shared" si="2"/>
        <v>21.90658630268695</v>
      </c>
      <c r="L21" s="319">
        <f t="shared" si="2"/>
        <v>23.926411668164018</v>
      </c>
      <c r="M21" s="319">
        <f t="shared" si="2"/>
        <v>26.367761834609265</v>
      </c>
      <c r="N21" s="319">
        <f t="shared" si="2"/>
        <v>27.05434708771659</v>
      </c>
      <c r="O21" s="319">
        <f t="shared" si="2"/>
        <v>25.492795404516507</v>
      </c>
      <c r="P21" s="319">
        <f t="shared" si="2"/>
        <v>24.869648163523316</v>
      </c>
      <c r="Q21" s="319">
        <f t="shared" si="2"/>
        <v>28.645421003076326</v>
      </c>
      <c r="R21" s="319">
        <f t="shared" si="2"/>
        <v>28.591020231334</v>
      </c>
      <c r="S21" s="319">
        <f t="shared" si="2"/>
        <v>21.436958813717744</v>
      </c>
      <c r="T21" s="319">
        <f t="shared" si="2"/>
        <v>26.109733846482293</v>
      </c>
      <c r="U21" s="319">
        <f>U14</f>
        <v>25.13869595198298</v>
      </c>
      <c r="V21" s="319">
        <f>V14</f>
        <v>31.4375219145738</v>
      </c>
      <c r="W21" s="346"/>
      <c r="X21" s="346"/>
      <c r="Y21" s="346"/>
      <c r="Z21" s="346"/>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7"/>
      <c r="BB21" s="196"/>
      <c r="BC21" s="196"/>
      <c r="BD21" s="196"/>
    </row>
    <row r="22" spans="1:56" s="230" customFormat="1" ht="12.75">
      <c r="A22" s="40"/>
      <c r="B22" s="54" t="s">
        <v>254</v>
      </c>
      <c r="C22" s="206" t="s">
        <v>251</v>
      </c>
      <c r="D22" s="245">
        <f t="shared" si="1"/>
        <v>0</v>
      </c>
      <c r="E22" s="319">
        <f t="shared" si="1"/>
        <v>0</v>
      </c>
      <c r="F22" s="319">
        <f t="shared" si="1"/>
        <v>0</v>
      </c>
      <c r="G22" s="319">
        <f t="shared" si="1"/>
        <v>0</v>
      </c>
      <c r="H22" s="319">
        <f aca="true" t="shared" si="3" ref="H22:T22">H15</f>
        <v>0</v>
      </c>
      <c r="I22" s="319">
        <f t="shared" si="3"/>
        <v>0</v>
      </c>
      <c r="J22" s="319">
        <f t="shared" si="3"/>
        <v>0</v>
      </c>
      <c r="K22" s="319">
        <f t="shared" si="3"/>
        <v>0</v>
      </c>
      <c r="L22" s="319">
        <f t="shared" si="3"/>
        <v>0</v>
      </c>
      <c r="M22" s="319">
        <f t="shared" si="3"/>
        <v>0</v>
      </c>
      <c r="N22" s="319">
        <f t="shared" si="3"/>
        <v>0</v>
      </c>
      <c r="O22" s="319">
        <f t="shared" si="3"/>
        <v>0</v>
      </c>
      <c r="P22" s="319">
        <f t="shared" si="3"/>
        <v>0.8558435189729572</v>
      </c>
      <c r="Q22" s="319">
        <f t="shared" si="3"/>
        <v>1.6343698035770284</v>
      </c>
      <c r="R22" s="319">
        <f t="shared" si="3"/>
        <v>0</v>
      </c>
      <c r="S22" s="319">
        <f t="shared" si="3"/>
        <v>0</v>
      </c>
      <c r="T22" s="319">
        <f t="shared" si="3"/>
        <v>0</v>
      </c>
      <c r="U22" s="319">
        <f>U15</f>
        <v>1.258281265877599</v>
      </c>
      <c r="V22" s="319">
        <f>V15</f>
        <v>0</v>
      </c>
      <c r="W22" s="346"/>
      <c r="X22" s="346"/>
      <c r="Y22" s="346"/>
      <c r="Z22" s="346"/>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7"/>
      <c r="BB22" s="196"/>
      <c r="BC22" s="196"/>
      <c r="BD22" s="196"/>
    </row>
    <row r="23" spans="1:56" s="230" customFormat="1" ht="12.75">
      <c r="A23" s="40"/>
      <c r="B23" s="199" t="s">
        <v>286</v>
      </c>
      <c r="C23" s="205"/>
      <c r="D23" s="245">
        <f>SUM(D19:D22)</f>
        <v>0</v>
      </c>
      <c r="E23" s="320">
        <f>SUM(E19:E22)</f>
        <v>89.20825193214012</v>
      </c>
      <c r="F23" s="320">
        <f>SUM(F19:F22)</f>
        <v>110.95199613295546</v>
      </c>
      <c r="G23" s="320">
        <f>SUM(G19:G22)</f>
        <v>90.30939323815015</v>
      </c>
      <c r="H23" s="320">
        <f aca="true" t="shared" si="4" ref="H23:T23">SUM(H19:H22)</f>
        <v>99.78342329276352</v>
      </c>
      <c r="I23" s="320">
        <f t="shared" si="4"/>
        <v>70.83975796017987</v>
      </c>
      <c r="J23" s="320">
        <f t="shared" si="4"/>
        <v>119.14102153512859</v>
      </c>
      <c r="K23" s="320">
        <f t="shared" si="4"/>
        <v>120.09044041213998</v>
      </c>
      <c r="L23" s="320">
        <f t="shared" si="4"/>
        <v>116.61441560176085</v>
      </c>
      <c r="M23" s="320">
        <f t="shared" si="4"/>
        <v>152.38920611391418</v>
      </c>
      <c r="N23" s="320">
        <f t="shared" si="4"/>
        <v>116.14379291209103</v>
      </c>
      <c r="O23" s="320">
        <f t="shared" si="4"/>
        <v>112.65630543085356</v>
      </c>
      <c r="P23" s="320">
        <f t="shared" si="4"/>
        <v>138.3921731128789</v>
      </c>
      <c r="Q23" s="320">
        <f t="shared" si="4"/>
        <v>143.01109194670664</v>
      </c>
      <c r="R23" s="320">
        <f t="shared" si="4"/>
        <v>114.04875716080058</v>
      </c>
      <c r="S23" s="320">
        <f t="shared" si="4"/>
        <v>107.12787602750342</v>
      </c>
      <c r="T23" s="320">
        <f t="shared" si="4"/>
        <v>123.83122426278942</v>
      </c>
      <c r="U23" s="320">
        <f>SUM(U19:U22)</f>
        <v>137.93316401159188</v>
      </c>
      <c r="V23" s="320">
        <f>SUM(V19:V22)</f>
        <v>56.05701076633318</v>
      </c>
      <c r="W23" s="346"/>
      <c r="X23" s="346"/>
      <c r="Y23" s="346"/>
      <c r="Z23" s="346"/>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7"/>
      <c r="BB23" s="196"/>
      <c r="BC23" s="196"/>
      <c r="BD23" s="196"/>
    </row>
    <row r="24" spans="1:56" s="230" customFormat="1" ht="12.75">
      <c r="A24" s="40"/>
      <c r="B24" s="54"/>
      <c r="C24" s="54"/>
      <c r="D24" s="250"/>
      <c r="E24" s="250"/>
      <c r="F24" s="250"/>
      <c r="G24" s="250"/>
      <c r="H24" s="250"/>
      <c r="I24" s="250"/>
      <c r="J24" s="250"/>
      <c r="K24" s="250"/>
      <c r="L24" s="250"/>
      <c r="M24" s="250"/>
      <c r="N24" s="250"/>
      <c r="O24" s="250"/>
      <c r="P24" s="250"/>
      <c r="Q24" s="250"/>
      <c r="R24" s="250"/>
      <c r="S24" s="250"/>
      <c r="T24" s="250"/>
      <c r="U24" s="250"/>
      <c r="V24" s="250"/>
      <c r="W24" s="346"/>
      <c r="X24" s="346"/>
      <c r="Y24" s="346"/>
      <c r="Z24" s="346"/>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7"/>
      <c r="BB24" s="196"/>
      <c r="BC24" s="196"/>
      <c r="BD24" s="196"/>
    </row>
    <row r="25" spans="1:56" s="230" customFormat="1" ht="12.75">
      <c r="A25" s="40"/>
      <c r="B25" s="54"/>
      <c r="C25" s="54"/>
      <c r="D25" s="250"/>
      <c r="E25" s="250"/>
      <c r="F25" s="250"/>
      <c r="G25" s="250"/>
      <c r="H25" s="250"/>
      <c r="I25" s="250"/>
      <c r="J25" s="250"/>
      <c r="K25" s="250"/>
      <c r="L25" s="250"/>
      <c r="M25" s="250"/>
      <c r="N25" s="250"/>
      <c r="O25" s="250"/>
      <c r="P25" s="250"/>
      <c r="Q25" s="250"/>
      <c r="R25" s="250"/>
      <c r="S25" s="250"/>
      <c r="T25" s="250"/>
      <c r="U25" s="250"/>
      <c r="V25" s="250"/>
      <c r="W25" s="346"/>
      <c r="X25" s="346"/>
      <c r="Y25" s="346"/>
      <c r="Z25" s="346"/>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7"/>
      <c r="BB25" s="196"/>
      <c r="BC25" s="196"/>
      <c r="BD25" s="196"/>
    </row>
    <row r="26" spans="1:56" s="230" customFormat="1" ht="12.75">
      <c r="A26" s="40"/>
      <c r="B26" s="199" t="s">
        <v>282</v>
      </c>
      <c r="C26" s="204"/>
      <c r="D26" s="247"/>
      <c r="E26" s="317">
        <v>92.75816656</v>
      </c>
      <c r="F26" s="317">
        <v>85.23582947000001</v>
      </c>
      <c r="G26" s="317">
        <v>80.86870329000001</v>
      </c>
      <c r="H26" s="317">
        <v>72.82791537</v>
      </c>
      <c r="I26" s="317">
        <v>82.94910365000001</v>
      </c>
      <c r="J26" s="317">
        <v>101.69180905000002</v>
      </c>
      <c r="K26" s="317">
        <v>114.49403660000002</v>
      </c>
      <c r="L26" s="317">
        <v>119.89017031000002</v>
      </c>
      <c r="M26" s="317">
        <v>131.59576901</v>
      </c>
      <c r="N26" s="317">
        <v>132.68569889000003</v>
      </c>
      <c r="O26" s="317">
        <v>128.02981765</v>
      </c>
      <c r="P26" s="317">
        <v>131.10018985</v>
      </c>
      <c r="Q26" s="317">
        <v>131.60876598</v>
      </c>
      <c r="R26" s="317">
        <v>144.09638065999997</v>
      </c>
      <c r="S26" s="317">
        <v>138.19535259000003</v>
      </c>
      <c r="T26" s="317">
        <v>144.90089839951438</v>
      </c>
      <c r="U26" s="317">
        <f>'2. Revenues and expenses'!I17/1000000</f>
        <v>156.35426894999955</v>
      </c>
      <c r="V26" s="318">
        <f>'2. Revenues and expenses'!F17/1000000</f>
        <v>149.95934264999994</v>
      </c>
      <c r="W26" s="346"/>
      <c r="X26" s="346"/>
      <c r="Y26" s="346"/>
      <c r="Z26" s="34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row>
    <row r="27" spans="1:56" s="230" customFormat="1" ht="12.75">
      <c r="A27" s="40"/>
      <c r="B27" s="209"/>
      <c r="C27" s="54"/>
      <c r="D27" s="250"/>
      <c r="E27" s="250"/>
      <c r="F27" s="250"/>
      <c r="G27" s="250"/>
      <c r="H27" s="250"/>
      <c r="I27" s="250"/>
      <c r="J27" s="250"/>
      <c r="K27" s="250"/>
      <c r="L27" s="250"/>
      <c r="M27" s="250"/>
      <c r="N27" s="250"/>
      <c r="O27" s="250"/>
      <c r="P27" s="250"/>
      <c r="Q27" s="250"/>
      <c r="R27" s="250"/>
      <c r="S27" s="250"/>
      <c r="T27" s="250"/>
      <c r="U27" s="250"/>
      <c r="V27" s="250"/>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7"/>
      <c r="BB27" s="196"/>
      <c r="BC27" s="196"/>
      <c r="BD27" s="196"/>
    </row>
    <row r="28" spans="1:56" s="230" customFormat="1" ht="12.75">
      <c r="A28" s="40"/>
      <c r="B28" s="209"/>
      <c r="C28" s="54"/>
      <c r="D28" s="250"/>
      <c r="E28" s="250"/>
      <c r="F28" s="250"/>
      <c r="G28" s="250"/>
      <c r="H28" s="250"/>
      <c r="I28" s="250"/>
      <c r="J28" s="250"/>
      <c r="K28" s="250"/>
      <c r="L28" s="250"/>
      <c r="M28" s="250"/>
      <c r="N28" s="250"/>
      <c r="O28" s="250"/>
      <c r="P28" s="250"/>
      <c r="Q28" s="250"/>
      <c r="R28" s="250"/>
      <c r="S28" s="250"/>
      <c r="T28" s="250"/>
      <c r="U28" s="250"/>
      <c r="V28" s="250"/>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7"/>
      <c r="BB28" s="196"/>
      <c r="BC28" s="196"/>
      <c r="BD28" s="196"/>
    </row>
    <row r="29" spans="1:56" s="230" customFormat="1" ht="12.75">
      <c r="A29" s="40"/>
      <c r="B29" s="129" t="s">
        <v>288</v>
      </c>
      <c r="C29" s="203" t="s">
        <v>132</v>
      </c>
      <c r="D29" s="250"/>
      <c r="E29" s="250"/>
      <c r="F29" s="250"/>
      <c r="G29" s="250"/>
      <c r="H29" s="250"/>
      <c r="I29" s="250"/>
      <c r="J29" s="250"/>
      <c r="K29" s="250"/>
      <c r="L29" s="250"/>
      <c r="M29" s="250"/>
      <c r="N29" s="250"/>
      <c r="O29" s="250"/>
      <c r="P29" s="250"/>
      <c r="Q29" s="250"/>
      <c r="R29" s="250"/>
      <c r="S29" s="250"/>
      <c r="T29" s="250"/>
      <c r="U29" s="250"/>
      <c r="V29" s="250"/>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7"/>
      <c r="BB29" s="196"/>
      <c r="BC29" s="196"/>
      <c r="BD29" s="196"/>
    </row>
    <row r="30" spans="1:56" s="230" customFormat="1" ht="12.75">
      <c r="A30" s="40"/>
      <c r="B30" s="54" t="s">
        <v>248</v>
      </c>
      <c r="C30" s="206" t="s">
        <v>289</v>
      </c>
      <c r="D30" s="315" t="s">
        <v>506</v>
      </c>
      <c r="E30" s="315" t="s">
        <v>506</v>
      </c>
      <c r="F30" s="315" t="s">
        <v>506</v>
      </c>
      <c r="G30" s="315" t="s">
        <v>506</v>
      </c>
      <c r="H30" s="315" t="s">
        <v>506</v>
      </c>
      <c r="I30" s="315" t="s">
        <v>506</v>
      </c>
      <c r="J30" s="315" t="s">
        <v>506</v>
      </c>
      <c r="K30" s="315" t="s">
        <v>506</v>
      </c>
      <c r="L30" s="315" t="s">
        <v>506</v>
      </c>
      <c r="M30" s="315" t="s">
        <v>506</v>
      </c>
      <c r="N30" s="315" t="s">
        <v>506</v>
      </c>
      <c r="O30" s="315" t="s">
        <v>506</v>
      </c>
      <c r="P30" s="315" t="s">
        <v>506</v>
      </c>
      <c r="Q30" s="315" t="s">
        <v>506</v>
      </c>
      <c r="R30" s="315" t="s">
        <v>506</v>
      </c>
      <c r="S30" s="315" t="s">
        <v>506</v>
      </c>
      <c r="T30" s="315" t="s">
        <v>506</v>
      </c>
      <c r="U30" s="315" t="s">
        <v>506</v>
      </c>
      <c r="V30" s="315" t="s">
        <v>506</v>
      </c>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7"/>
      <c r="BB30" s="196"/>
      <c r="BC30" s="196"/>
      <c r="BD30" s="196"/>
    </row>
    <row r="31" spans="1:56" s="230" customFormat="1" ht="12.75">
      <c r="A31" s="40"/>
      <c r="B31" s="54" t="s">
        <v>254</v>
      </c>
      <c r="C31" s="206" t="s">
        <v>289</v>
      </c>
      <c r="D31" s="315" t="s">
        <v>506</v>
      </c>
      <c r="E31" s="315" t="s">
        <v>506</v>
      </c>
      <c r="F31" s="315" t="s">
        <v>506</v>
      </c>
      <c r="G31" s="315" t="s">
        <v>506</v>
      </c>
      <c r="H31" s="315" t="s">
        <v>506</v>
      </c>
      <c r="I31" s="315" t="s">
        <v>506</v>
      </c>
      <c r="J31" s="315" t="s">
        <v>506</v>
      </c>
      <c r="K31" s="315" t="s">
        <v>506</v>
      </c>
      <c r="L31" s="315" t="s">
        <v>506</v>
      </c>
      <c r="M31" s="315" t="s">
        <v>506</v>
      </c>
      <c r="N31" s="315" t="s">
        <v>506</v>
      </c>
      <c r="O31" s="315" t="s">
        <v>506</v>
      </c>
      <c r="P31" s="315" t="s">
        <v>506</v>
      </c>
      <c r="Q31" s="315" t="s">
        <v>506</v>
      </c>
      <c r="R31" s="315" t="s">
        <v>506</v>
      </c>
      <c r="S31" s="315" t="s">
        <v>506</v>
      </c>
      <c r="T31" s="315" t="s">
        <v>506</v>
      </c>
      <c r="U31" s="315" t="s">
        <v>506</v>
      </c>
      <c r="V31" s="315" t="s">
        <v>506</v>
      </c>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7"/>
      <c r="BB31" s="196"/>
      <c r="BC31" s="196"/>
      <c r="BD31" s="196"/>
    </row>
    <row r="32" spans="1:30" s="230" customFormat="1" ht="12.75">
      <c r="A32" s="40"/>
      <c r="B32" s="54" t="s">
        <v>247</v>
      </c>
      <c r="C32" s="206" t="s">
        <v>289</v>
      </c>
      <c r="D32" s="315" t="s">
        <v>506</v>
      </c>
      <c r="E32" s="315" t="s">
        <v>506</v>
      </c>
      <c r="F32" s="315" t="s">
        <v>506</v>
      </c>
      <c r="G32" s="315" t="s">
        <v>506</v>
      </c>
      <c r="H32" s="315" t="s">
        <v>506</v>
      </c>
      <c r="I32" s="315" t="s">
        <v>506</v>
      </c>
      <c r="J32" s="315" t="s">
        <v>506</v>
      </c>
      <c r="K32" s="315" t="s">
        <v>506</v>
      </c>
      <c r="L32" s="315" t="s">
        <v>506</v>
      </c>
      <c r="M32" s="315" t="s">
        <v>506</v>
      </c>
      <c r="N32" s="315" t="s">
        <v>506</v>
      </c>
      <c r="O32" s="315" t="s">
        <v>506</v>
      </c>
      <c r="P32" s="315" t="s">
        <v>506</v>
      </c>
      <c r="Q32" s="315" t="s">
        <v>506</v>
      </c>
      <c r="R32" s="315" t="s">
        <v>506</v>
      </c>
      <c r="S32" s="315" t="s">
        <v>506</v>
      </c>
      <c r="T32" s="315" t="s">
        <v>506</v>
      </c>
      <c r="U32" s="315" t="s">
        <v>506</v>
      </c>
      <c r="V32" s="315" t="s">
        <v>506</v>
      </c>
      <c r="AD32" s="200"/>
    </row>
    <row r="33" spans="1:56" s="230" customFormat="1" ht="12.75">
      <c r="A33" s="40"/>
      <c r="B33" s="54" t="s">
        <v>285</v>
      </c>
      <c r="C33" s="206" t="s">
        <v>289</v>
      </c>
      <c r="D33" s="315" t="s">
        <v>506</v>
      </c>
      <c r="E33" s="315" t="s">
        <v>506</v>
      </c>
      <c r="F33" s="315" t="s">
        <v>506</v>
      </c>
      <c r="G33" s="315" t="s">
        <v>506</v>
      </c>
      <c r="H33" s="315" t="s">
        <v>506</v>
      </c>
      <c r="I33" s="315" t="s">
        <v>506</v>
      </c>
      <c r="J33" s="315" t="s">
        <v>506</v>
      </c>
      <c r="K33" s="315" t="s">
        <v>506</v>
      </c>
      <c r="L33" s="315" t="s">
        <v>506</v>
      </c>
      <c r="M33" s="315" t="s">
        <v>506</v>
      </c>
      <c r="N33" s="315" t="s">
        <v>506</v>
      </c>
      <c r="O33" s="315" t="s">
        <v>506</v>
      </c>
      <c r="P33" s="315" t="s">
        <v>506</v>
      </c>
      <c r="Q33" s="315" t="s">
        <v>506</v>
      </c>
      <c r="R33" s="315" t="s">
        <v>506</v>
      </c>
      <c r="S33" s="315" t="s">
        <v>506</v>
      </c>
      <c r="T33" s="315" t="s">
        <v>506</v>
      </c>
      <c r="U33" s="315" t="s">
        <v>506</v>
      </c>
      <c r="V33" s="315" t="s">
        <v>506</v>
      </c>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7"/>
      <c r="BB33" s="196"/>
      <c r="BC33" s="196"/>
      <c r="BD33" s="196"/>
    </row>
    <row r="34" spans="1:56" s="230" customFormat="1" ht="12.75">
      <c r="A34" s="40"/>
      <c r="B34" s="199" t="s">
        <v>284</v>
      </c>
      <c r="C34" s="206" t="s">
        <v>289</v>
      </c>
      <c r="D34" s="315" t="s">
        <v>506</v>
      </c>
      <c r="E34" s="315" t="s">
        <v>506</v>
      </c>
      <c r="F34" s="315" t="s">
        <v>506</v>
      </c>
      <c r="G34" s="315" t="s">
        <v>506</v>
      </c>
      <c r="H34" s="315" t="s">
        <v>506</v>
      </c>
      <c r="I34" s="315" t="s">
        <v>506</v>
      </c>
      <c r="J34" s="315" t="s">
        <v>506</v>
      </c>
      <c r="K34" s="315" t="s">
        <v>506</v>
      </c>
      <c r="L34" s="315" t="s">
        <v>506</v>
      </c>
      <c r="M34" s="315" t="s">
        <v>506</v>
      </c>
      <c r="N34" s="315" t="s">
        <v>506</v>
      </c>
      <c r="O34" s="315" t="s">
        <v>506</v>
      </c>
      <c r="P34" s="315" t="s">
        <v>506</v>
      </c>
      <c r="Q34" s="315" t="s">
        <v>506</v>
      </c>
      <c r="R34" s="315" t="s">
        <v>506</v>
      </c>
      <c r="S34" s="315" t="s">
        <v>506</v>
      </c>
      <c r="T34" s="315" t="s">
        <v>506</v>
      </c>
      <c r="U34" s="315" t="s">
        <v>506</v>
      </c>
      <c r="V34" s="315" t="s">
        <v>506</v>
      </c>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7"/>
      <c r="BB34" s="196"/>
      <c r="BC34" s="196"/>
      <c r="BD34" s="196"/>
    </row>
    <row r="35" spans="1:62" s="230" customFormat="1" ht="12.75">
      <c r="A35" s="40"/>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7"/>
      <c r="AD35" s="238"/>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row>
    <row r="36" spans="1:62" s="230" customFormat="1" ht="12.75">
      <c r="A36" s="40"/>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7"/>
      <c r="AD36" s="238"/>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row>
    <row r="37" spans="1:62" s="230" customFormat="1" ht="12.75">
      <c r="A37" s="40"/>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7"/>
      <c r="AD37" s="238"/>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row>
    <row r="38" spans="1:62" s="230" customFormat="1" ht="12.75">
      <c r="A38" s="40"/>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7"/>
      <c r="AD38" s="238"/>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row>
    <row r="39" spans="1:62" s="230" customFormat="1" ht="12.75">
      <c r="A39" s="40"/>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7"/>
      <c r="AD39" s="238"/>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row>
    <row r="40" spans="1:62" s="230" customFormat="1" ht="12.75">
      <c r="A40" s="40"/>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8"/>
      <c r="AD40" s="238"/>
      <c r="AE40" s="238"/>
      <c r="AF40" s="238"/>
      <c r="AG40" s="238"/>
      <c r="AH40" s="238"/>
      <c r="AI40" s="238"/>
      <c r="AJ40" s="238"/>
      <c r="AK40" s="238"/>
      <c r="AL40" s="238"/>
      <c r="AM40" s="238"/>
      <c r="AN40" s="238"/>
      <c r="AO40" s="238"/>
      <c r="AP40" s="238"/>
      <c r="AQ40" s="237"/>
      <c r="AR40" s="237"/>
      <c r="AS40" s="237"/>
      <c r="AT40" s="237"/>
      <c r="AU40" s="237"/>
      <c r="AV40" s="237"/>
      <c r="AW40" s="237"/>
      <c r="AX40" s="237"/>
      <c r="AY40" s="237"/>
      <c r="AZ40" s="237"/>
      <c r="BA40" s="237"/>
      <c r="BB40" s="237"/>
      <c r="BC40" s="237"/>
      <c r="BD40" s="237"/>
      <c r="BE40" s="237"/>
      <c r="BF40" s="237"/>
      <c r="BG40" s="237"/>
      <c r="BH40" s="237"/>
      <c r="BI40" s="237"/>
      <c r="BJ40" s="237"/>
    </row>
    <row r="41" spans="1:62" s="230" customFormat="1" ht="12.75">
      <c r="A41" s="40"/>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8"/>
      <c r="AD41" s="238"/>
      <c r="AE41" s="238"/>
      <c r="AF41" s="238"/>
      <c r="AG41" s="238"/>
      <c r="AH41" s="238"/>
      <c r="AI41" s="238"/>
      <c r="AJ41" s="238"/>
      <c r="AK41" s="238"/>
      <c r="AL41" s="238"/>
      <c r="AM41" s="238"/>
      <c r="AN41" s="238"/>
      <c r="AO41" s="238"/>
      <c r="AP41" s="238"/>
      <c r="AQ41" s="238"/>
      <c r="AR41" s="237"/>
      <c r="AS41" s="237"/>
      <c r="AT41" s="237"/>
      <c r="AU41" s="237"/>
      <c r="AV41" s="237"/>
      <c r="AW41" s="237"/>
      <c r="AX41" s="237"/>
      <c r="AY41" s="237"/>
      <c r="AZ41" s="237"/>
      <c r="BA41" s="237"/>
      <c r="BB41" s="237"/>
      <c r="BC41" s="237"/>
      <c r="BD41" s="237"/>
      <c r="BE41" s="237"/>
      <c r="BF41" s="237"/>
      <c r="BG41" s="237"/>
      <c r="BH41" s="237"/>
      <c r="BI41" s="237"/>
      <c r="BJ41" s="237"/>
    </row>
    <row r="42" spans="1:62" s="230" customFormat="1" ht="12.75">
      <c r="A42" s="40"/>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7"/>
      <c r="AD42" s="238"/>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row>
    <row r="43" spans="1:62" s="230" customFormat="1" ht="12.75">
      <c r="A43" s="40"/>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7"/>
      <c r="AD43" s="238"/>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row>
    <row r="44" spans="1:62" s="230" customFormat="1" ht="12.75">
      <c r="A44" s="40"/>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7"/>
      <c r="AD44" s="238"/>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row>
    <row r="45" spans="1:62" s="230" customFormat="1" ht="12.75">
      <c r="A45" s="40"/>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7"/>
      <c r="AD45" s="238"/>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row>
    <row r="46" spans="1:62" s="230" customFormat="1" ht="12.75">
      <c r="A46" s="40"/>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7"/>
      <c r="AD46" s="238"/>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row>
    <row r="47" spans="1:62" s="230" customFormat="1" ht="12.75">
      <c r="A47" s="40"/>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7"/>
      <c r="AD47" s="238"/>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row>
    <row r="48" spans="1:62" s="230" customFormat="1" ht="12.75">
      <c r="A48" s="40"/>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7"/>
      <c r="AD48" s="238"/>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row>
    <row r="49" spans="1:62" s="230" customFormat="1" ht="12.75">
      <c r="A49" s="40"/>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7"/>
      <c r="AD49" s="238"/>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row>
    <row r="50" spans="1:62" s="230" customFormat="1" ht="12.75">
      <c r="A50" s="40"/>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7"/>
      <c r="AD50" s="238"/>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row>
    <row r="51" spans="1:62" s="230" customFormat="1" ht="12.75">
      <c r="A51" s="40"/>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7"/>
      <c r="AD51" s="238"/>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row>
    <row r="52" spans="1:62" s="230" customFormat="1" ht="12.75">
      <c r="A52" s="40"/>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7"/>
      <c r="AD52" s="238"/>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row>
    <row r="53" spans="1:62" s="230" customFormat="1" ht="12.75">
      <c r="A53" s="40"/>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7"/>
      <c r="AD53" s="238"/>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row>
    <row r="54" spans="1:62" s="230" customFormat="1" ht="12.75">
      <c r="A54" s="40"/>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7"/>
      <c r="AD54" s="238"/>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row>
    <row r="55" spans="1:62" s="230" customFormat="1" ht="12.75">
      <c r="A55" s="40"/>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7"/>
      <c r="AD55" s="238"/>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row>
    <row r="56" spans="1:62" s="230" customFormat="1" ht="12.75">
      <c r="A56" s="40"/>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7"/>
      <c r="AD56" s="238"/>
      <c r="AE56" s="237"/>
      <c r="AF56" s="237"/>
      <c r="AG56" s="237"/>
      <c r="AH56" s="237"/>
      <c r="AI56" s="237"/>
      <c r="AJ56" s="237"/>
      <c r="AK56" s="237"/>
      <c r="AL56" s="237"/>
      <c r="AM56" s="237"/>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row>
    <row r="57" spans="1:62" s="230" customFormat="1" ht="12.75">
      <c r="A57" s="40"/>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7"/>
      <c r="AD57" s="238"/>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row>
    <row r="58" spans="1:62" s="230" customFormat="1" ht="12.75">
      <c r="A58" s="40"/>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7"/>
      <c r="AD58" s="238"/>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row>
    <row r="59" spans="1:62" s="230" customFormat="1" ht="12.75">
      <c r="A59" s="40"/>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7"/>
      <c r="AD59" s="238"/>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row>
    <row r="60" spans="1:62" s="230" customFormat="1" ht="12.75">
      <c r="A60" s="40"/>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7"/>
      <c r="AD60" s="238"/>
      <c r="AE60" s="237"/>
      <c r="AF60" s="237"/>
      <c r="AG60" s="237"/>
      <c r="AH60" s="237"/>
      <c r="AI60" s="237"/>
      <c r="AJ60" s="237"/>
      <c r="AK60" s="237"/>
      <c r="AL60" s="237"/>
      <c r="AM60" s="237"/>
      <c r="AN60" s="237"/>
      <c r="AO60" s="237"/>
      <c r="AP60" s="237"/>
      <c r="AQ60" s="237"/>
      <c r="AR60" s="237"/>
      <c r="AS60" s="237"/>
      <c r="AT60" s="237"/>
      <c r="AU60" s="237"/>
      <c r="AV60" s="237"/>
      <c r="AW60" s="237"/>
      <c r="AX60" s="237"/>
      <c r="AY60" s="237"/>
      <c r="AZ60" s="237"/>
      <c r="BA60" s="237"/>
      <c r="BB60" s="237"/>
      <c r="BC60" s="237"/>
      <c r="BD60" s="237"/>
      <c r="BE60" s="237"/>
      <c r="BF60" s="237"/>
      <c r="BG60" s="237"/>
      <c r="BH60" s="237"/>
      <c r="BI60" s="237"/>
      <c r="BJ60" s="237"/>
    </row>
    <row r="61" spans="1:62" s="230" customFormat="1" ht="12.75">
      <c r="A61" s="40"/>
      <c r="B61" s="239"/>
      <c r="C61" s="241"/>
      <c r="D61" s="242"/>
      <c r="E61" s="242"/>
      <c r="F61" s="242"/>
      <c r="G61" s="242"/>
      <c r="H61" s="242"/>
      <c r="I61" s="242"/>
      <c r="J61" s="242"/>
      <c r="K61" s="242"/>
      <c r="L61" s="242"/>
      <c r="M61" s="242"/>
      <c r="N61" s="242"/>
      <c r="O61" s="242"/>
      <c r="P61" s="242"/>
      <c r="Q61" s="242"/>
      <c r="R61" s="242"/>
      <c r="S61" s="242"/>
      <c r="T61" s="242"/>
      <c r="U61" s="242"/>
      <c r="V61" s="240"/>
      <c r="W61" s="240"/>
      <c r="X61" s="240"/>
      <c r="Y61" s="240"/>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row>
    <row r="62" spans="1:62" s="230" customFormat="1" ht="12.75">
      <c r="A62" s="40"/>
      <c r="B62" s="239"/>
      <c r="C62" s="241"/>
      <c r="D62" s="242"/>
      <c r="E62" s="242"/>
      <c r="F62" s="242"/>
      <c r="G62" s="242"/>
      <c r="H62" s="242"/>
      <c r="I62" s="242"/>
      <c r="J62" s="242"/>
      <c r="K62" s="242"/>
      <c r="L62" s="242"/>
      <c r="M62" s="242"/>
      <c r="N62" s="242"/>
      <c r="O62" s="242"/>
      <c r="P62" s="242"/>
      <c r="Q62" s="242"/>
      <c r="R62" s="242"/>
      <c r="S62" s="242"/>
      <c r="T62" s="242"/>
      <c r="U62" s="242"/>
      <c r="V62" s="240"/>
      <c r="W62" s="240"/>
      <c r="X62" s="240"/>
      <c r="Y62" s="240"/>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row>
    <row r="63" spans="1:62" s="230" customFormat="1" ht="12.75">
      <c r="A63" s="40"/>
      <c r="B63" s="239"/>
      <c r="C63" s="241"/>
      <c r="D63" s="242"/>
      <c r="E63" s="242"/>
      <c r="F63" s="242"/>
      <c r="G63" s="242"/>
      <c r="H63" s="242"/>
      <c r="I63" s="242"/>
      <c r="J63" s="242"/>
      <c r="K63" s="242"/>
      <c r="L63" s="242"/>
      <c r="M63" s="242"/>
      <c r="N63" s="242"/>
      <c r="O63" s="242"/>
      <c r="P63" s="242"/>
      <c r="Q63" s="242"/>
      <c r="R63" s="242"/>
      <c r="S63" s="242"/>
      <c r="T63" s="242"/>
      <c r="U63" s="242"/>
      <c r="V63" s="240"/>
      <c r="W63" s="240"/>
      <c r="X63" s="240"/>
      <c r="Y63" s="240"/>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row>
    <row r="64" spans="1:62" s="230" customFormat="1" ht="12.75">
      <c r="A64" s="40"/>
      <c r="B64" s="239"/>
      <c r="C64" s="241"/>
      <c r="D64" s="242"/>
      <c r="E64" s="242"/>
      <c r="F64" s="242"/>
      <c r="G64" s="242"/>
      <c r="H64" s="242"/>
      <c r="I64" s="242"/>
      <c r="J64" s="242"/>
      <c r="K64" s="242"/>
      <c r="L64" s="242"/>
      <c r="M64" s="242"/>
      <c r="N64" s="242"/>
      <c r="O64" s="242"/>
      <c r="P64" s="242"/>
      <c r="Q64" s="242"/>
      <c r="R64" s="242"/>
      <c r="S64" s="242"/>
      <c r="T64" s="242"/>
      <c r="U64" s="242"/>
      <c r="V64" s="240"/>
      <c r="W64" s="240"/>
      <c r="X64" s="240"/>
      <c r="Y64" s="240"/>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row>
    <row r="65" spans="1:62" s="230" customFormat="1" ht="12.75">
      <c r="A65" s="40"/>
      <c r="B65" s="239"/>
      <c r="C65" s="241"/>
      <c r="D65" s="242"/>
      <c r="E65" s="242"/>
      <c r="F65" s="242"/>
      <c r="G65" s="242"/>
      <c r="H65" s="242"/>
      <c r="I65" s="242"/>
      <c r="J65" s="242"/>
      <c r="K65" s="242"/>
      <c r="L65" s="242"/>
      <c r="M65" s="242"/>
      <c r="N65" s="242"/>
      <c r="O65" s="242"/>
      <c r="P65" s="242"/>
      <c r="Q65" s="242"/>
      <c r="R65" s="242"/>
      <c r="S65" s="242"/>
      <c r="T65" s="242"/>
      <c r="U65" s="242"/>
      <c r="V65" s="240"/>
      <c r="W65" s="240"/>
      <c r="X65" s="240"/>
      <c r="Y65" s="240"/>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row>
    <row r="66" spans="1:62" s="230" customFormat="1" ht="12.75">
      <c r="A66" s="40"/>
      <c r="B66" s="239"/>
      <c r="C66" s="241"/>
      <c r="D66" s="242"/>
      <c r="E66" s="242"/>
      <c r="F66" s="242"/>
      <c r="G66" s="242"/>
      <c r="H66" s="242"/>
      <c r="I66" s="242"/>
      <c r="J66" s="242"/>
      <c r="K66" s="242"/>
      <c r="L66" s="242"/>
      <c r="M66" s="242"/>
      <c r="N66" s="242"/>
      <c r="O66" s="242"/>
      <c r="P66" s="242"/>
      <c r="Q66" s="242"/>
      <c r="R66" s="242"/>
      <c r="S66" s="242"/>
      <c r="T66" s="242"/>
      <c r="U66" s="242"/>
      <c r="V66" s="240"/>
      <c r="W66" s="240"/>
      <c r="X66" s="240"/>
      <c r="Y66" s="240"/>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row>
    <row r="67" spans="1:62" s="230" customFormat="1" ht="12.75">
      <c r="A67" s="40"/>
      <c r="B67" s="239"/>
      <c r="C67" s="241"/>
      <c r="D67" s="242"/>
      <c r="E67" s="242"/>
      <c r="F67" s="242"/>
      <c r="G67" s="242"/>
      <c r="H67" s="242"/>
      <c r="I67" s="242"/>
      <c r="J67" s="242"/>
      <c r="K67" s="242"/>
      <c r="L67" s="242"/>
      <c r="M67" s="242"/>
      <c r="N67" s="242"/>
      <c r="O67" s="242"/>
      <c r="P67" s="242"/>
      <c r="Q67" s="242"/>
      <c r="R67" s="242"/>
      <c r="S67" s="242"/>
      <c r="T67" s="242"/>
      <c r="U67" s="242"/>
      <c r="V67" s="240"/>
      <c r="W67" s="240"/>
      <c r="X67" s="240"/>
      <c r="Y67" s="240"/>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9"/>
      <c r="BD67" s="239"/>
      <c r="BE67" s="239"/>
      <c r="BF67" s="239"/>
      <c r="BG67" s="239"/>
      <c r="BH67" s="239"/>
      <c r="BI67" s="239"/>
      <c r="BJ67" s="239"/>
    </row>
    <row r="68" spans="1:62" s="230" customFormat="1" ht="12.75">
      <c r="A68" s="40"/>
      <c r="B68" s="239"/>
      <c r="C68" s="241"/>
      <c r="D68" s="242"/>
      <c r="E68" s="242"/>
      <c r="F68" s="242"/>
      <c r="G68" s="242"/>
      <c r="H68" s="242"/>
      <c r="I68" s="242"/>
      <c r="J68" s="242"/>
      <c r="K68" s="242"/>
      <c r="L68" s="242"/>
      <c r="M68" s="242"/>
      <c r="N68" s="242"/>
      <c r="O68" s="242"/>
      <c r="P68" s="242"/>
      <c r="Q68" s="242"/>
      <c r="R68" s="242"/>
      <c r="S68" s="242"/>
      <c r="T68" s="242"/>
      <c r="U68" s="242"/>
      <c r="V68" s="240"/>
      <c r="W68" s="240"/>
      <c r="X68" s="240"/>
      <c r="Y68" s="240"/>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9"/>
      <c r="BD68" s="239"/>
      <c r="BE68" s="239"/>
      <c r="BF68" s="239"/>
      <c r="BG68" s="239"/>
      <c r="BH68" s="239"/>
      <c r="BI68" s="239"/>
      <c r="BJ68" s="239"/>
    </row>
    <row r="69" spans="1:62" s="230" customFormat="1" ht="12.75">
      <c r="A69" s="40"/>
      <c r="B69" s="239"/>
      <c r="C69" s="241"/>
      <c r="D69" s="242"/>
      <c r="E69" s="242"/>
      <c r="F69" s="242"/>
      <c r="G69" s="242"/>
      <c r="H69" s="242"/>
      <c r="I69" s="242"/>
      <c r="J69" s="242"/>
      <c r="K69" s="242"/>
      <c r="L69" s="242"/>
      <c r="M69" s="242"/>
      <c r="N69" s="242"/>
      <c r="O69" s="242"/>
      <c r="P69" s="242"/>
      <c r="Q69" s="242"/>
      <c r="R69" s="242"/>
      <c r="S69" s="242"/>
      <c r="T69" s="242"/>
      <c r="U69" s="242"/>
      <c r="V69" s="240"/>
      <c r="W69" s="240"/>
      <c r="X69" s="240"/>
      <c r="Y69" s="240"/>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row>
    <row r="70" spans="1:62" s="230" customFormat="1" ht="12.75">
      <c r="A70" s="40"/>
      <c r="B70" s="239"/>
      <c r="C70" s="241"/>
      <c r="D70" s="242"/>
      <c r="E70" s="242"/>
      <c r="F70" s="242"/>
      <c r="G70" s="242"/>
      <c r="H70" s="242"/>
      <c r="I70" s="242"/>
      <c r="J70" s="242"/>
      <c r="K70" s="242"/>
      <c r="L70" s="242"/>
      <c r="M70" s="242"/>
      <c r="N70" s="242"/>
      <c r="O70" s="242"/>
      <c r="P70" s="242"/>
      <c r="Q70" s="242"/>
      <c r="R70" s="242"/>
      <c r="S70" s="242"/>
      <c r="T70" s="242"/>
      <c r="U70" s="242"/>
      <c r="V70" s="240"/>
      <c r="W70" s="240"/>
      <c r="X70" s="240"/>
      <c r="Y70" s="240"/>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row>
    <row r="71" spans="1:62" s="230" customFormat="1" ht="12.75">
      <c r="A71" s="40"/>
      <c r="B71" s="239"/>
      <c r="C71" s="241"/>
      <c r="D71" s="242"/>
      <c r="E71" s="242"/>
      <c r="F71" s="242"/>
      <c r="G71" s="242"/>
      <c r="H71" s="242"/>
      <c r="I71" s="242"/>
      <c r="J71" s="242"/>
      <c r="K71" s="242"/>
      <c r="L71" s="242"/>
      <c r="M71" s="242"/>
      <c r="N71" s="242"/>
      <c r="O71" s="242"/>
      <c r="P71" s="242"/>
      <c r="Q71" s="242"/>
      <c r="R71" s="242"/>
      <c r="S71" s="242"/>
      <c r="T71" s="242"/>
      <c r="U71" s="242"/>
      <c r="V71" s="240"/>
      <c r="W71" s="240"/>
      <c r="X71" s="240"/>
      <c r="Y71" s="240"/>
      <c r="AA71" s="239"/>
      <c r="AB71" s="239"/>
      <c r="AC71" s="239"/>
      <c r="AD71" s="239"/>
      <c r="AE71" s="239"/>
      <c r="AF71" s="239"/>
      <c r="AG71" s="239"/>
      <c r="AH71" s="239"/>
      <c r="AI71" s="239"/>
      <c r="AJ71" s="239"/>
      <c r="AK71" s="239"/>
      <c r="AL71" s="239"/>
      <c r="AM71" s="239"/>
      <c r="AN71" s="239"/>
      <c r="AO71" s="239"/>
      <c r="AP71" s="239"/>
      <c r="AQ71" s="239"/>
      <c r="AR71" s="239"/>
      <c r="AS71" s="239"/>
      <c r="AT71" s="239"/>
      <c r="AU71" s="239"/>
      <c r="AV71" s="239"/>
      <c r="AW71" s="239"/>
      <c r="AX71" s="239"/>
      <c r="AY71" s="239"/>
      <c r="AZ71" s="239"/>
      <c r="BA71" s="239"/>
      <c r="BB71" s="239"/>
      <c r="BC71" s="239"/>
      <c r="BD71" s="239"/>
      <c r="BE71" s="239"/>
      <c r="BF71" s="239"/>
      <c r="BG71" s="239"/>
      <c r="BH71" s="239"/>
      <c r="BI71" s="239"/>
      <c r="BJ71" s="239"/>
    </row>
    <row r="72" spans="1:62" s="230" customFormat="1" ht="12.75">
      <c r="A72" s="40"/>
      <c r="B72" s="239"/>
      <c r="C72" s="241"/>
      <c r="D72" s="242"/>
      <c r="E72" s="242"/>
      <c r="F72" s="242"/>
      <c r="G72" s="242"/>
      <c r="H72" s="242"/>
      <c r="I72" s="242"/>
      <c r="J72" s="242"/>
      <c r="K72" s="242"/>
      <c r="L72" s="242"/>
      <c r="M72" s="242"/>
      <c r="N72" s="242"/>
      <c r="O72" s="242"/>
      <c r="P72" s="242"/>
      <c r="Q72" s="242"/>
      <c r="R72" s="242"/>
      <c r="S72" s="242"/>
      <c r="T72" s="242"/>
      <c r="U72" s="242"/>
      <c r="V72" s="240"/>
      <c r="W72" s="240"/>
      <c r="X72" s="240"/>
      <c r="Y72" s="240"/>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row>
    <row r="73" spans="1:62" s="230" customFormat="1" ht="12.75">
      <c r="A73" s="40"/>
      <c r="B73" s="239"/>
      <c r="C73" s="241"/>
      <c r="D73" s="242"/>
      <c r="E73" s="242"/>
      <c r="F73" s="242"/>
      <c r="G73" s="242"/>
      <c r="H73" s="242"/>
      <c r="I73" s="242"/>
      <c r="J73" s="242"/>
      <c r="K73" s="242"/>
      <c r="L73" s="242"/>
      <c r="M73" s="242"/>
      <c r="N73" s="242"/>
      <c r="O73" s="242"/>
      <c r="P73" s="242"/>
      <c r="Q73" s="242"/>
      <c r="R73" s="242"/>
      <c r="S73" s="242"/>
      <c r="T73" s="242"/>
      <c r="U73" s="242"/>
      <c r="V73" s="240"/>
      <c r="W73" s="240"/>
      <c r="X73" s="240"/>
      <c r="Y73" s="240"/>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row>
    <row r="74" spans="1:62" s="230" customFormat="1" ht="12.75">
      <c r="A74" s="40"/>
      <c r="B74" s="239"/>
      <c r="C74" s="241"/>
      <c r="D74" s="242"/>
      <c r="E74" s="242"/>
      <c r="F74" s="242"/>
      <c r="G74" s="242"/>
      <c r="H74" s="242"/>
      <c r="I74" s="242"/>
      <c r="J74" s="242"/>
      <c r="K74" s="242"/>
      <c r="L74" s="242"/>
      <c r="M74" s="242"/>
      <c r="N74" s="242"/>
      <c r="O74" s="242"/>
      <c r="P74" s="242"/>
      <c r="Q74" s="242"/>
      <c r="R74" s="242"/>
      <c r="S74" s="242"/>
      <c r="T74" s="242"/>
      <c r="U74" s="242"/>
      <c r="V74" s="240"/>
      <c r="W74" s="240"/>
      <c r="X74" s="240"/>
      <c r="Y74" s="240"/>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row>
    <row r="75" spans="1:62" s="230" customFormat="1" ht="12.75">
      <c r="A75" s="40"/>
      <c r="B75" s="239"/>
      <c r="C75" s="241"/>
      <c r="D75" s="242"/>
      <c r="E75" s="242"/>
      <c r="F75" s="242"/>
      <c r="G75" s="242"/>
      <c r="H75" s="242"/>
      <c r="I75" s="242"/>
      <c r="J75" s="242"/>
      <c r="K75" s="242"/>
      <c r="L75" s="242"/>
      <c r="M75" s="242"/>
      <c r="N75" s="242"/>
      <c r="O75" s="242"/>
      <c r="P75" s="242"/>
      <c r="Q75" s="242"/>
      <c r="R75" s="242"/>
      <c r="S75" s="242"/>
      <c r="T75" s="242"/>
      <c r="U75" s="242"/>
      <c r="V75" s="240"/>
      <c r="W75" s="240"/>
      <c r="X75" s="240"/>
      <c r="Y75" s="240"/>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row>
    <row r="76" spans="1:62" s="230" customFormat="1" ht="12.75">
      <c r="A76" s="40"/>
      <c r="B76" s="239"/>
      <c r="C76" s="241"/>
      <c r="D76" s="242"/>
      <c r="E76" s="242"/>
      <c r="F76" s="242"/>
      <c r="G76" s="242"/>
      <c r="H76" s="242"/>
      <c r="I76" s="242"/>
      <c r="J76" s="242"/>
      <c r="K76" s="242"/>
      <c r="L76" s="242"/>
      <c r="M76" s="242"/>
      <c r="N76" s="242"/>
      <c r="O76" s="242"/>
      <c r="P76" s="242"/>
      <c r="Q76" s="242"/>
      <c r="R76" s="242"/>
      <c r="S76" s="242"/>
      <c r="T76" s="242"/>
      <c r="U76" s="242"/>
      <c r="V76" s="240"/>
      <c r="W76" s="240"/>
      <c r="X76" s="240"/>
      <c r="Y76" s="240"/>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row>
  </sheetData>
  <sheetProtection/>
  <mergeCells count="1">
    <mergeCell ref="D5:V5"/>
  </mergeCells>
  <printOptions/>
  <pageMargins left="0.7480314960629921" right="0.7480314960629921" top="0.984251968503937" bottom="0.984251968503937" header="0.5118110236220472" footer="0.5118110236220472"/>
  <pageSetup fitToHeight="1" fitToWidth="1" horizontalDpi="600" verticalDpi="600" orientation="portrait" paperSize="9" scale="21" r:id="rId4"/>
  <drawing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80" zoomScaleNormal="80" zoomScalePageLayoutView="0" workbookViewId="0" topLeftCell="A1">
      <selection activeCell="A1" sqref="A1"/>
    </sheetView>
  </sheetViews>
  <sheetFormatPr defaultColWidth="9.140625" defaultRowHeight="12.75"/>
  <cols>
    <col min="1" max="1" width="12.00390625" style="40" customWidth="1"/>
    <col min="2" max="2" width="16.421875" style="40" bestFit="1" customWidth="1"/>
    <col min="3" max="3" width="43.421875" style="40" customWidth="1"/>
    <col min="4" max="9" width="20.7109375" style="40" customWidth="1"/>
    <col min="10" max="16384" width="9.140625" style="40" customWidth="1"/>
  </cols>
  <sheetData>
    <row r="1" spans="2:9" ht="21">
      <c r="B1" s="395" t="s">
        <v>194</v>
      </c>
      <c r="C1" s="395"/>
      <c r="D1" s="395"/>
      <c r="E1" s="39"/>
      <c r="F1" s="39"/>
      <c r="G1" s="39"/>
      <c r="H1" s="39"/>
      <c r="I1" s="39"/>
    </row>
    <row r="2" spans="2:9" ht="18" customHeight="1">
      <c r="B2" s="151" t="str">
        <f>Tradingname</f>
        <v>EAST AUSTRALIAN PIPELINE PTY LIMITED</v>
      </c>
      <c r="C2" s="152"/>
      <c r="I2" s="114"/>
    </row>
    <row r="3" spans="2:3" ht="13.5">
      <c r="B3" s="153" t="s">
        <v>180</v>
      </c>
      <c r="C3" s="154">
        <f>Yearending</f>
        <v>44377</v>
      </c>
    </row>
    <row r="4" spans="2:7" ht="12.75" customHeight="1">
      <c r="B4" s="38"/>
      <c r="D4" s="106"/>
      <c r="G4" s="106"/>
    </row>
    <row r="5" spans="2:4" ht="15">
      <c r="B5" s="391" t="s">
        <v>220</v>
      </c>
      <c r="C5" s="391"/>
      <c r="D5" s="391"/>
    </row>
    <row r="6" spans="2:9" ht="12.75">
      <c r="B6" s="42"/>
      <c r="C6" s="43"/>
      <c r="D6" s="44"/>
      <c r="E6" s="44"/>
      <c r="F6" s="44"/>
      <c r="G6" s="44"/>
      <c r="H6" s="44"/>
      <c r="I6" s="44"/>
    </row>
    <row r="7" spans="2:9" ht="30.75" customHeight="1">
      <c r="B7" s="49"/>
      <c r="C7" s="49"/>
      <c r="D7" s="392" t="s">
        <v>226</v>
      </c>
      <c r="E7" s="393"/>
      <c r="F7" s="394"/>
      <c r="G7" s="392" t="s">
        <v>227</v>
      </c>
      <c r="H7" s="393"/>
      <c r="I7" s="394"/>
    </row>
    <row r="8" spans="2:9" ht="51" customHeight="1">
      <c r="B8" s="48" t="s">
        <v>219</v>
      </c>
      <c r="C8" s="49" t="s">
        <v>19</v>
      </c>
      <c r="D8" s="50" t="s">
        <v>61</v>
      </c>
      <c r="E8" s="50" t="s">
        <v>62</v>
      </c>
      <c r="F8" s="50" t="s">
        <v>25</v>
      </c>
      <c r="G8" s="50" t="s">
        <v>61</v>
      </c>
      <c r="H8" s="50" t="s">
        <v>62</v>
      </c>
      <c r="I8" s="50" t="s">
        <v>25</v>
      </c>
    </row>
    <row r="9" spans="2:9" ht="12.75">
      <c r="B9" s="51"/>
      <c r="C9" s="53"/>
      <c r="D9" s="52" t="s">
        <v>182</v>
      </c>
      <c r="E9" s="52" t="s">
        <v>182</v>
      </c>
      <c r="F9" s="52" t="s">
        <v>182</v>
      </c>
      <c r="G9" s="52" t="s">
        <v>182</v>
      </c>
      <c r="H9" s="52" t="s">
        <v>182</v>
      </c>
      <c r="I9" s="52" t="s">
        <v>182</v>
      </c>
    </row>
    <row r="10" spans="2:9" ht="12.75">
      <c r="B10" s="51"/>
      <c r="C10" s="103" t="s">
        <v>47</v>
      </c>
      <c r="D10" s="52"/>
      <c r="E10" s="52"/>
      <c r="F10" s="52"/>
      <c r="G10" s="52"/>
      <c r="H10" s="52"/>
      <c r="I10" s="52"/>
    </row>
    <row r="11" spans="2:9" ht="12.75">
      <c r="B11" s="334" t="s">
        <v>533</v>
      </c>
      <c r="C11" s="54" t="s">
        <v>126</v>
      </c>
      <c r="D11" s="251">
        <f>'2.1 Revenue by service'!D24</f>
        <v>149220037.74999994</v>
      </c>
      <c r="E11" s="251">
        <f>'2.1 Revenue by service'!E24</f>
        <v>0</v>
      </c>
      <c r="F11" s="251">
        <f>SUM(D11:E11)</f>
        <v>149220037.74999994</v>
      </c>
      <c r="G11" s="251">
        <f>'2.1 Revenue by service'!G24</f>
        <v>155373148.26999953</v>
      </c>
      <c r="H11" s="251">
        <f>'2.1 Revenue by service'!H24</f>
        <v>0</v>
      </c>
      <c r="I11" s="251">
        <f>SUM(G11:H11)</f>
        <v>155373148.26999953</v>
      </c>
    </row>
    <row r="12" spans="2:9" ht="12.75">
      <c r="B12" s="334" t="s">
        <v>533</v>
      </c>
      <c r="C12" s="54" t="s">
        <v>51</v>
      </c>
      <c r="D12" s="252">
        <v>739304.9</v>
      </c>
      <c r="E12" s="252">
        <v>0</v>
      </c>
      <c r="F12" s="251">
        <f>SUM(D12:E12)</f>
        <v>739304.9</v>
      </c>
      <c r="G12" s="252">
        <v>981120.6799999999</v>
      </c>
      <c r="H12" s="252"/>
      <c r="I12" s="251">
        <f>SUM(G12:H12)</f>
        <v>981120.6799999999</v>
      </c>
    </row>
    <row r="13" spans="2:9" ht="12.75">
      <c r="B13" s="335"/>
      <c r="C13" s="56" t="s">
        <v>50</v>
      </c>
      <c r="D13" s="219">
        <f aca="true" t="shared" si="0" ref="D13:I13">SUM(D11:D12)</f>
        <v>149959342.64999995</v>
      </c>
      <c r="E13" s="219">
        <f t="shared" si="0"/>
        <v>0</v>
      </c>
      <c r="F13" s="219">
        <f t="shared" si="0"/>
        <v>149959342.64999995</v>
      </c>
      <c r="G13" s="219">
        <f t="shared" si="0"/>
        <v>156354268.94999954</v>
      </c>
      <c r="H13" s="219">
        <f t="shared" si="0"/>
        <v>0</v>
      </c>
      <c r="I13" s="219">
        <f t="shared" si="0"/>
        <v>156354268.94999954</v>
      </c>
    </row>
    <row r="14" spans="2:9" ht="12.75">
      <c r="B14" s="336"/>
      <c r="C14" s="103" t="s">
        <v>56</v>
      </c>
      <c r="D14" s="253"/>
      <c r="E14" s="253"/>
      <c r="F14" s="253"/>
      <c r="G14" s="253"/>
      <c r="H14" s="253"/>
      <c r="I14" s="253"/>
    </row>
    <row r="15" spans="2:9" ht="12.75">
      <c r="B15" s="334" t="s">
        <v>533</v>
      </c>
      <c r="C15" s="54" t="s">
        <v>21</v>
      </c>
      <c r="D15" s="251">
        <f>'2.3 Indirect revenue'!G36</f>
        <v>0</v>
      </c>
      <c r="E15" s="251">
        <f>'2.3 Indirect revenue'!H36</f>
        <v>0</v>
      </c>
      <c r="F15" s="251">
        <f>SUM(D15:E15)</f>
        <v>0</v>
      </c>
      <c r="G15" s="252"/>
      <c r="H15" s="252"/>
      <c r="I15" s="251">
        <f>SUM(G15:H15)</f>
        <v>0</v>
      </c>
    </row>
    <row r="16" spans="2:9" ht="12.75">
      <c r="B16" s="335"/>
      <c r="C16" s="56" t="s">
        <v>52</v>
      </c>
      <c r="D16" s="219">
        <f aca="true" t="shared" si="1" ref="D16:I16">SUM(D15:D15)</f>
        <v>0</v>
      </c>
      <c r="E16" s="219">
        <f t="shared" si="1"/>
        <v>0</v>
      </c>
      <c r="F16" s="219">
        <f t="shared" si="1"/>
        <v>0</v>
      </c>
      <c r="G16" s="219">
        <f t="shared" si="1"/>
        <v>0</v>
      </c>
      <c r="H16" s="219">
        <f t="shared" si="1"/>
        <v>0</v>
      </c>
      <c r="I16" s="219">
        <f t="shared" si="1"/>
        <v>0</v>
      </c>
    </row>
    <row r="17" spans="2:9" ht="12.75">
      <c r="B17" s="335"/>
      <c r="C17" s="56" t="s">
        <v>22</v>
      </c>
      <c r="D17" s="219">
        <f aca="true" t="shared" si="2" ref="D17:I17">D13+D16</f>
        <v>149959342.64999995</v>
      </c>
      <c r="E17" s="219">
        <f t="shared" si="2"/>
        <v>0</v>
      </c>
      <c r="F17" s="219">
        <f t="shared" si="2"/>
        <v>149959342.64999995</v>
      </c>
      <c r="G17" s="219">
        <f t="shared" si="2"/>
        <v>156354268.94999954</v>
      </c>
      <c r="H17" s="219">
        <f t="shared" si="2"/>
        <v>0</v>
      </c>
      <c r="I17" s="219">
        <f t="shared" si="2"/>
        <v>156354268.94999954</v>
      </c>
    </row>
    <row r="18" spans="2:9" ht="12.75">
      <c r="B18" s="335"/>
      <c r="C18" s="104" t="s">
        <v>63</v>
      </c>
      <c r="D18" s="253"/>
      <c r="E18" s="253"/>
      <c r="F18" s="253"/>
      <c r="G18" s="253"/>
      <c r="H18" s="253"/>
      <c r="I18" s="253"/>
    </row>
    <row r="19" spans="2:9" ht="12.75">
      <c r="B19" s="334" t="s">
        <v>534</v>
      </c>
      <c r="C19" s="55" t="s">
        <v>128</v>
      </c>
      <c r="D19" s="252">
        <v>-282534.72</v>
      </c>
      <c r="E19" s="252">
        <v>0</v>
      </c>
      <c r="F19" s="251">
        <f aca="true" t="shared" si="3" ref="F19:F26">SUM(D19:E19)</f>
        <v>-282534.72</v>
      </c>
      <c r="G19" s="252">
        <v>-225850.9</v>
      </c>
      <c r="H19" s="252">
        <v>0</v>
      </c>
      <c r="I19" s="251">
        <f aca="true" t="shared" si="4" ref="I19:I24">SUM(G19:H19)</f>
        <v>-225850.9</v>
      </c>
    </row>
    <row r="20" spans="2:9" ht="12.75">
      <c r="B20" s="334" t="s">
        <v>534</v>
      </c>
      <c r="C20" s="55" t="s">
        <v>129</v>
      </c>
      <c r="D20" s="252">
        <v>-14346776.559999999</v>
      </c>
      <c r="E20" s="252">
        <v>0</v>
      </c>
      <c r="F20" s="251">
        <f t="shared" si="3"/>
        <v>-14346776.559999999</v>
      </c>
      <c r="G20" s="252">
        <v>-12461165.510000002</v>
      </c>
      <c r="H20" s="252">
        <v>0</v>
      </c>
      <c r="I20" s="251">
        <f t="shared" si="4"/>
        <v>-12461165.510000002</v>
      </c>
    </row>
    <row r="21" spans="2:9" ht="12.75">
      <c r="B21" s="334" t="s">
        <v>535</v>
      </c>
      <c r="C21" s="55" t="s">
        <v>23</v>
      </c>
      <c r="D21" s="252">
        <v>31772778.55523531</v>
      </c>
      <c r="E21" s="252">
        <v>0</v>
      </c>
      <c r="F21" s="251">
        <f t="shared" si="3"/>
        <v>31772778.55523531</v>
      </c>
      <c r="G21" s="252">
        <v>-40661687.63272558</v>
      </c>
      <c r="H21" s="252">
        <v>0</v>
      </c>
      <c r="I21" s="251">
        <f t="shared" si="4"/>
        <v>-40661687.63272558</v>
      </c>
    </row>
    <row r="22" spans="2:9" ht="12.75">
      <c r="B22" s="334" t="s">
        <v>534</v>
      </c>
      <c r="C22" s="55" t="s">
        <v>53</v>
      </c>
      <c r="D22" s="252">
        <v>-658602.38</v>
      </c>
      <c r="E22" s="252">
        <v>0</v>
      </c>
      <c r="F22" s="251">
        <f t="shared" si="3"/>
        <v>-658602.38</v>
      </c>
      <c r="G22" s="252">
        <v>-562221.59</v>
      </c>
      <c r="H22" s="252">
        <v>0</v>
      </c>
      <c r="I22" s="251">
        <f t="shared" si="4"/>
        <v>-562221.59</v>
      </c>
    </row>
    <row r="23" spans="2:9" ht="12.75">
      <c r="B23" s="334" t="s">
        <v>534</v>
      </c>
      <c r="C23" s="55" t="s">
        <v>54</v>
      </c>
      <c r="D23" s="252">
        <v>-362873.97000000003</v>
      </c>
      <c r="E23" s="252">
        <v>0</v>
      </c>
      <c r="F23" s="251">
        <f t="shared" si="3"/>
        <v>-362873.97000000003</v>
      </c>
      <c r="G23" s="252">
        <v>-231684.41999999998</v>
      </c>
      <c r="H23" s="252">
        <v>0</v>
      </c>
      <c r="I23" s="251">
        <f t="shared" si="4"/>
        <v>-231684.41999999998</v>
      </c>
    </row>
    <row r="24" spans="2:9" ht="12.75">
      <c r="B24" s="334" t="s">
        <v>534</v>
      </c>
      <c r="C24" s="55" t="s">
        <v>55</v>
      </c>
      <c r="D24" s="252">
        <v>-27360.89</v>
      </c>
      <c r="E24" s="252">
        <v>0</v>
      </c>
      <c r="F24" s="251">
        <f t="shared" si="3"/>
        <v>-27360.89</v>
      </c>
      <c r="G24" s="252">
        <v>-29600.019999999993</v>
      </c>
      <c r="H24" s="252">
        <v>0</v>
      </c>
      <c r="I24" s="251">
        <f t="shared" si="4"/>
        <v>-29600.019999999993</v>
      </c>
    </row>
    <row r="25" spans="2:9" ht="12.75">
      <c r="B25" s="334" t="s">
        <v>534</v>
      </c>
      <c r="C25" s="55" t="s">
        <v>69</v>
      </c>
      <c r="D25" s="252">
        <v>-37427.91</v>
      </c>
      <c r="E25" s="252">
        <v>0</v>
      </c>
      <c r="F25" s="251">
        <f>SUM(D25:E25)</f>
        <v>-37427.91</v>
      </c>
      <c r="G25" s="252">
        <v>-36767.75</v>
      </c>
      <c r="H25" s="252">
        <v>0</v>
      </c>
      <c r="I25" s="251">
        <f>SUM(G25:H25)</f>
        <v>-36767.75</v>
      </c>
    </row>
    <row r="26" spans="2:9" ht="12.75">
      <c r="B26" s="334" t="s">
        <v>534</v>
      </c>
      <c r="C26" s="57" t="s">
        <v>66</v>
      </c>
      <c r="D26" s="252">
        <v>-4316079.600000001</v>
      </c>
      <c r="E26" s="252">
        <v>0</v>
      </c>
      <c r="F26" s="251">
        <f t="shared" si="3"/>
        <v>-4316079.600000001</v>
      </c>
      <c r="G26" s="252">
        <v>-3635012.390000001</v>
      </c>
      <c r="H26" s="252">
        <v>0</v>
      </c>
      <c r="I26" s="251">
        <f>SUM(G26:H26)</f>
        <v>-3635012.390000001</v>
      </c>
    </row>
    <row r="27" spans="2:9" ht="12.75">
      <c r="B27" s="335"/>
      <c r="C27" s="56" t="s">
        <v>64</v>
      </c>
      <c r="D27" s="219">
        <f aca="true" t="shared" si="5" ref="D27:I27">SUM(D19:D26)</f>
        <v>11741122.525235306</v>
      </c>
      <c r="E27" s="219">
        <f t="shared" si="5"/>
        <v>0</v>
      </c>
      <c r="F27" s="219">
        <f t="shared" si="5"/>
        <v>11741122.525235306</v>
      </c>
      <c r="G27" s="219">
        <f t="shared" si="5"/>
        <v>-57843990.212725595</v>
      </c>
      <c r="H27" s="219">
        <f t="shared" si="5"/>
        <v>0</v>
      </c>
      <c r="I27" s="219">
        <f t="shared" si="5"/>
        <v>-57843990.212725595</v>
      </c>
    </row>
    <row r="28" spans="2:9" ht="12.75">
      <c r="B28" s="334"/>
      <c r="C28" s="104" t="s">
        <v>160</v>
      </c>
      <c r="D28" s="253"/>
      <c r="E28" s="253"/>
      <c r="F28" s="253"/>
      <c r="G28" s="253"/>
      <c r="H28" s="253"/>
      <c r="I28" s="253"/>
    </row>
    <row r="29" spans="2:9" ht="12.75">
      <c r="B29" s="334"/>
      <c r="C29" s="55" t="s">
        <v>57</v>
      </c>
      <c r="D29" s="251">
        <f>SUMIF('2.4 Shared costs'!$C$9:$C$17,'2. Revenues and expenses'!$C29,'2.4 Shared costs'!$H$9:$H$17)</f>
        <v>0</v>
      </c>
      <c r="E29" s="251">
        <f>SUMIF('2.4 Shared costs'!$C$9:$C$17,'2. Revenues and expenses'!$C29,'2.4 Shared costs'!$I$9:$I$17)</f>
        <v>0</v>
      </c>
      <c r="F29" s="251">
        <f aca="true" t="shared" si="6" ref="F29:F37">SUM(D29:E29)</f>
        <v>0</v>
      </c>
      <c r="G29" s="252">
        <v>0</v>
      </c>
      <c r="H29" s="252">
        <v>0</v>
      </c>
      <c r="I29" s="251">
        <f aca="true" t="shared" si="7" ref="I29:I37">SUM(G29:H29)</f>
        <v>0</v>
      </c>
    </row>
    <row r="30" spans="2:9" ht="12.75">
      <c r="B30" s="334"/>
      <c r="C30" s="55" t="s">
        <v>67</v>
      </c>
      <c r="D30" s="251">
        <f>SUMIF('2.4 Shared costs'!$C$9:$C$17,'2. Revenues and expenses'!$C30,'2.4 Shared costs'!$H$9:$H$17)</f>
        <v>0</v>
      </c>
      <c r="E30" s="251">
        <f>SUMIF('2.4 Shared costs'!$C$9:$C$17,'2. Revenues and expenses'!$C30,'2.4 Shared costs'!$I$9:$I$17)</f>
        <v>0</v>
      </c>
      <c r="F30" s="251">
        <f t="shared" si="6"/>
        <v>0</v>
      </c>
      <c r="G30" s="252">
        <v>0</v>
      </c>
      <c r="H30" s="252">
        <v>0</v>
      </c>
      <c r="I30" s="251">
        <f t="shared" si="7"/>
        <v>0</v>
      </c>
    </row>
    <row r="31" spans="2:9" ht="12.75">
      <c r="B31" s="334"/>
      <c r="C31" s="54" t="s">
        <v>58</v>
      </c>
      <c r="D31" s="251">
        <f>SUMIF('2.4 Shared costs'!$C$9:$C$17,'2. Revenues and expenses'!$C31,'2.4 Shared costs'!$H$9:$H$17)</f>
        <v>0</v>
      </c>
      <c r="E31" s="251">
        <f>SUMIF('2.4 Shared costs'!$C$9:$C$17,'2. Revenues and expenses'!$C31,'2.4 Shared costs'!$I$9:$I$17)</f>
        <v>0</v>
      </c>
      <c r="F31" s="251">
        <f t="shared" si="6"/>
        <v>0</v>
      </c>
      <c r="G31" s="252">
        <v>0</v>
      </c>
      <c r="H31" s="252">
        <v>0</v>
      </c>
      <c r="I31" s="251">
        <f t="shared" si="7"/>
        <v>0</v>
      </c>
    </row>
    <row r="32" spans="2:9" ht="12.75">
      <c r="B32" s="334" t="s">
        <v>535</v>
      </c>
      <c r="C32" s="57" t="s">
        <v>59</v>
      </c>
      <c r="D32" s="251">
        <f>SUMIF('2.4 Shared costs'!$C$9:$C$17,'2. Revenues and expenses'!$C32,'2.4 Shared costs'!$H$9:$H$17)</f>
        <v>-3584417.7200750667</v>
      </c>
      <c r="E32" s="251">
        <f>SUMIF('2.4 Shared costs'!$C$9:$C$17,'2. Revenues and expenses'!$C32,'2.4 Shared costs'!$I$9:$I$17)</f>
        <v>0</v>
      </c>
      <c r="F32" s="251">
        <f t="shared" si="6"/>
        <v>-3584417.7200750667</v>
      </c>
      <c r="G32" s="252">
        <v>-3471028.3530134503</v>
      </c>
      <c r="H32" s="252">
        <v>0</v>
      </c>
      <c r="I32" s="251">
        <f t="shared" si="7"/>
        <v>-3471028.3530134503</v>
      </c>
    </row>
    <row r="33" spans="2:9" ht="12.75">
      <c r="B33" s="334"/>
      <c r="C33" s="57" t="s">
        <v>68</v>
      </c>
      <c r="D33" s="251">
        <f>SUMIF('2.4 Shared costs'!$C$9:$C$17,'2. Revenues and expenses'!$C33,'2.4 Shared costs'!$H$9:$H$17)</f>
        <v>0</v>
      </c>
      <c r="E33" s="251">
        <f>SUMIF('2.4 Shared costs'!$C$9:$C$17,'2. Revenues and expenses'!$C33,'2.4 Shared costs'!$I$9:$I$17)</f>
        <v>0</v>
      </c>
      <c r="F33" s="251">
        <f t="shared" si="6"/>
        <v>0</v>
      </c>
      <c r="G33" s="252">
        <v>0</v>
      </c>
      <c r="H33" s="252">
        <v>0</v>
      </c>
      <c r="I33" s="251">
        <f t="shared" si="7"/>
        <v>0</v>
      </c>
    </row>
    <row r="34" spans="2:9" ht="12.75">
      <c r="B34" s="334" t="s">
        <v>536</v>
      </c>
      <c r="C34" s="54" t="s">
        <v>130</v>
      </c>
      <c r="D34" s="251">
        <f>SUMIF('2.4 Shared costs'!$C$9:$C$17,'2. Revenues and expenses'!$C34,'2.4 Shared costs'!$H$9:$H$17)</f>
        <v>-871666.5961039742</v>
      </c>
      <c r="E34" s="251">
        <f>SUMIF('2.4 Shared costs'!$C$9:$C$17,'2. Revenues and expenses'!$C34,'2.4 Shared costs'!$I$9:$I$17)</f>
        <v>0</v>
      </c>
      <c r="F34" s="251">
        <f t="shared" si="6"/>
        <v>-871666.5961039742</v>
      </c>
      <c r="G34" s="252">
        <v>-703771.2059505603</v>
      </c>
      <c r="H34" s="252">
        <v>0</v>
      </c>
      <c r="I34" s="251">
        <f t="shared" si="7"/>
        <v>-703771.2059505603</v>
      </c>
    </row>
    <row r="35" spans="2:9" ht="12.75">
      <c r="B35" s="334"/>
      <c r="C35" s="54" t="s">
        <v>60</v>
      </c>
      <c r="D35" s="251">
        <f>SUMIF('2.4 Shared costs'!$C$9:$C$17,'2. Revenues and expenses'!$C35,'2.4 Shared costs'!$H$9:$H$17)</f>
        <v>0</v>
      </c>
      <c r="E35" s="251">
        <f>SUMIF('2.4 Shared costs'!$C$9:$C$17,'2. Revenues and expenses'!$C35,'2.4 Shared costs'!$I$9:$I$17)</f>
        <v>0</v>
      </c>
      <c r="F35" s="251">
        <f t="shared" si="6"/>
        <v>0</v>
      </c>
      <c r="G35" s="252">
        <v>0</v>
      </c>
      <c r="H35" s="252">
        <v>0</v>
      </c>
      <c r="I35" s="251">
        <f t="shared" si="7"/>
        <v>0</v>
      </c>
    </row>
    <row r="36" spans="2:9" ht="12.75">
      <c r="B36" s="334"/>
      <c r="C36" s="54" t="s">
        <v>0</v>
      </c>
      <c r="D36" s="251">
        <f>SUMIF('2.4 Shared costs'!$C$9:$C$17,'2. Revenues and expenses'!$C36,'2.4 Shared costs'!$H$9:$H$17)</f>
        <v>0</v>
      </c>
      <c r="E36" s="251">
        <f>SUMIF('2.4 Shared costs'!$C$9:$C$17,'2. Revenues and expenses'!$C36,'2.4 Shared costs'!$I$9:$I$17)</f>
        <v>0</v>
      </c>
      <c r="F36" s="251">
        <f t="shared" si="6"/>
        <v>0</v>
      </c>
      <c r="G36" s="252">
        <v>0</v>
      </c>
      <c r="H36" s="252">
        <v>0</v>
      </c>
      <c r="I36" s="251">
        <f t="shared" si="7"/>
        <v>0</v>
      </c>
    </row>
    <row r="37" spans="2:9" ht="12.75">
      <c r="B37" s="334" t="s">
        <v>537</v>
      </c>
      <c r="C37" s="57" t="s">
        <v>177</v>
      </c>
      <c r="D37" s="251">
        <f>SUMIF('2.4 Shared costs'!$C$9:$C$17,'2. Revenues and expenses'!$C37,'2.4 Shared costs'!$H$9:$H$17)</f>
        <v>-10534199.288469825</v>
      </c>
      <c r="E37" s="251">
        <f>SUMIF('2.4 Shared costs'!$C$9:$C$17,'2. Revenues and expenses'!$C37,'2.4 Shared costs'!$I$9:$I$17)</f>
        <v>0</v>
      </c>
      <c r="F37" s="251">
        <f t="shared" si="6"/>
        <v>-10534199.288469825</v>
      </c>
      <c r="G37" s="252">
        <v>-7252622.16603242</v>
      </c>
      <c r="H37" s="252">
        <v>0</v>
      </c>
      <c r="I37" s="251">
        <f t="shared" si="7"/>
        <v>-7252622.16603242</v>
      </c>
    </row>
    <row r="38" spans="2:9" ht="12.75">
      <c r="B38" s="58"/>
      <c r="C38" s="56" t="s">
        <v>178</v>
      </c>
      <c r="D38" s="219">
        <f aca="true" t="shared" si="8" ref="D38:I38">SUM(D29:D37)</f>
        <v>-14990283.604648866</v>
      </c>
      <c r="E38" s="219">
        <f t="shared" si="8"/>
        <v>0</v>
      </c>
      <c r="F38" s="219">
        <f t="shared" si="8"/>
        <v>-14990283.604648866</v>
      </c>
      <c r="G38" s="252">
        <f t="shared" si="8"/>
        <v>-11427421.724996429</v>
      </c>
      <c r="H38" s="252">
        <f t="shared" si="8"/>
        <v>0</v>
      </c>
      <c r="I38" s="219">
        <f t="shared" si="8"/>
        <v>-11427421.724996429</v>
      </c>
    </row>
    <row r="39" spans="2:9" ht="12.75">
      <c r="B39" s="58"/>
      <c r="C39" s="56" t="s">
        <v>65</v>
      </c>
      <c r="D39" s="219">
        <f aca="true" t="shared" si="9" ref="D39:I39">D27+D38</f>
        <v>-3249161.0794135593</v>
      </c>
      <c r="E39" s="219">
        <f t="shared" si="9"/>
        <v>0</v>
      </c>
      <c r="F39" s="219">
        <f t="shared" si="9"/>
        <v>-3249161.0794135593</v>
      </c>
      <c r="G39" s="252">
        <f t="shared" si="9"/>
        <v>-69271411.93772203</v>
      </c>
      <c r="H39" s="252">
        <f t="shared" si="9"/>
        <v>0</v>
      </c>
      <c r="I39" s="219">
        <f t="shared" si="9"/>
        <v>-69271411.93772203</v>
      </c>
    </row>
    <row r="40" spans="2:9" ht="12.75">
      <c r="B40" s="111"/>
      <c r="C40" s="56" t="s">
        <v>96</v>
      </c>
      <c r="D40" s="251">
        <f aca="true" t="shared" si="10" ref="D40:I40">D17+D39</f>
        <v>146710181.57058638</v>
      </c>
      <c r="E40" s="251">
        <f t="shared" si="10"/>
        <v>0</v>
      </c>
      <c r="F40" s="251">
        <f t="shared" si="10"/>
        <v>146710181.57058638</v>
      </c>
      <c r="G40" s="252">
        <f t="shared" si="10"/>
        <v>87082857.01227751</v>
      </c>
      <c r="H40" s="252">
        <f t="shared" si="10"/>
        <v>0</v>
      </c>
      <c r="I40" s="251">
        <f t="shared" si="10"/>
        <v>87082857.01227751</v>
      </c>
    </row>
  </sheetData>
  <sheetProtection/>
  <mergeCells count="4">
    <mergeCell ref="B5:D5"/>
    <mergeCell ref="D7:F7"/>
    <mergeCell ref="G7:I7"/>
    <mergeCell ref="B1:D1"/>
  </mergeCells>
  <printOptions/>
  <pageMargins left="0.7480314960629921" right="0.7480314960629921" top="0.984251968503937" bottom="0.984251968503937" header="0.5118110236220472" footer="0.5118110236220472"/>
  <pageSetup fitToHeight="1" fitToWidth="1" horizontalDpi="600" verticalDpi="600" orientation="portrait" paperSize="9" scale="43"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5"/>
  <sheetViews>
    <sheetView zoomScale="80" zoomScaleNormal="80" zoomScalePageLayoutView="0" workbookViewId="0" topLeftCell="A1">
      <selection activeCell="A1" sqref="A1"/>
    </sheetView>
  </sheetViews>
  <sheetFormatPr defaultColWidth="9.140625" defaultRowHeight="12.75"/>
  <cols>
    <col min="1" max="1" width="12.00390625" style="40" customWidth="1"/>
    <col min="2" max="2" width="16.421875" style="40" bestFit="1" customWidth="1"/>
    <col min="3" max="3" width="43.421875" style="40" customWidth="1"/>
    <col min="4" max="9" width="20.7109375" style="40" customWidth="1"/>
    <col min="10" max="16384" width="9.140625" style="40" customWidth="1"/>
  </cols>
  <sheetData>
    <row r="1" spans="2:9" ht="21">
      <c r="B1" s="396" t="s">
        <v>137</v>
      </c>
      <c r="C1" s="396"/>
      <c r="D1" s="39"/>
      <c r="E1" s="39"/>
      <c r="F1" s="39"/>
      <c r="G1" s="39"/>
      <c r="H1" s="39"/>
      <c r="I1" s="39"/>
    </row>
    <row r="2" spans="2:9" ht="16.5" customHeight="1">
      <c r="B2" s="151" t="str">
        <f>Tradingname</f>
        <v>EAST AUSTRALIAN PIPELINE PTY LIMITED</v>
      </c>
      <c r="C2" s="152"/>
      <c r="I2" s="114"/>
    </row>
    <row r="3" spans="2:3" ht="13.5">
      <c r="B3" s="153" t="s">
        <v>180</v>
      </c>
      <c r="C3" s="154">
        <f>Yearending</f>
        <v>44377</v>
      </c>
    </row>
    <row r="4" spans="2:7" ht="12.75" customHeight="1">
      <c r="B4" s="38"/>
      <c r="D4" s="106"/>
      <c r="G4" s="106"/>
    </row>
    <row r="5" spans="2:4" ht="15">
      <c r="B5" s="391" t="s">
        <v>185</v>
      </c>
      <c r="C5" s="391"/>
      <c r="D5" s="391"/>
    </row>
    <row r="6" spans="2:9" ht="12.75">
      <c r="B6" s="42"/>
      <c r="C6" s="43"/>
      <c r="D6" s="44"/>
      <c r="E6" s="44"/>
      <c r="F6" s="44"/>
      <c r="G6" s="44"/>
      <c r="H6" s="44"/>
      <c r="I6" s="44"/>
    </row>
    <row r="7" spans="2:9" ht="21" customHeight="1">
      <c r="B7" s="49"/>
      <c r="C7" s="49"/>
      <c r="D7" s="392" t="s">
        <v>226</v>
      </c>
      <c r="E7" s="393"/>
      <c r="F7" s="394"/>
      <c r="G7" s="392" t="s">
        <v>227</v>
      </c>
      <c r="H7" s="393"/>
      <c r="I7" s="394"/>
    </row>
    <row r="8" spans="2:9" ht="51" customHeight="1">
      <c r="B8" s="48" t="s">
        <v>219</v>
      </c>
      <c r="C8" s="49" t="s">
        <v>19</v>
      </c>
      <c r="D8" s="50" t="s">
        <v>61</v>
      </c>
      <c r="E8" s="50" t="s">
        <v>62</v>
      </c>
      <c r="F8" s="50" t="s">
        <v>25</v>
      </c>
      <c r="G8" s="50" t="s">
        <v>61</v>
      </c>
      <c r="H8" s="50" t="s">
        <v>62</v>
      </c>
      <c r="I8" s="50" t="s">
        <v>25</v>
      </c>
    </row>
    <row r="9" spans="2:9" ht="15.75" customHeight="1">
      <c r="B9" s="48"/>
      <c r="C9" s="49"/>
      <c r="D9" s="52" t="s">
        <v>182</v>
      </c>
      <c r="E9" s="52" t="s">
        <v>182</v>
      </c>
      <c r="F9" s="52" t="s">
        <v>182</v>
      </c>
      <c r="G9" s="52" t="s">
        <v>182</v>
      </c>
      <c r="H9" s="52" t="s">
        <v>182</v>
      </c>
      <c r="I9" s="52" t="s">
        <v>182</v>
      </c>
    </row>
    <row r="10" spans="2:9" ht="12.75">
      <c r="B10" s="51"/>
      <c r="C10" s="103" t="s">
        <v>47</v>
      </c>
      <c r="D10" s="52"/>
      <c r="E10" s="52"/>
      <c r="F10" s="52"/>
      <c r="G10" s="52"/>
      <c r="H10" s="52"/>
      <c r="I10" s="52"/>
    </row>
    <row r="11" spans="2:9" ht="12.75">
      <c r="B11" s="334" t="s">
        <v>533</v>
      </c>
      <c r="C11" s="54" t="s">
        <v>173</v>
      </c>
      <c r="D11" s="252">
        <v>117032326.58363175</v>
      </c>
      <c r="E11" s="252">
        <v>0</v>
      </c>
      <c r="F11" s="251">
        <f aca="true" t="shared" si="0" ref="F11:F19">SUM(D11:E11)</f>
        <v>117032326.58363175</v>
      </c>
      <c r="G11" s="252">
        <v>126997659.02858518</v>
      </c>
      <c r="H11" s="252">
        <v>0</v>
      </c>
      <c r="I11" s="251">
        <f aca="true" t="shared" si="1" ref="I11:I19">SUM(G11:H11)</f>
        <v>126997659.02858518</v>
      </c>
    </row>
    <row r="12" spans="2:9" ht="12.75">
      <c r="B12" s="334" t="s">
        <v>533</v>
      </c>
      <c r="C12" s="54" t="s">
        <v>159</v>
      </c>
      <c r="D12" s="252">
        <v>1789552.8999999992</v>
      </c>
      <c r="E12" s="252">
        <v>0</v>
      </c>
      <c r="F12" s="251">
        <f t="shared" si="0"/>
        <v>1789552.8999999992</v>
      </c>
      <c r="G12" s="252">
        <v>1979748.4599999993</v>
      </c>
      <c r="H12" s="252">
        <v>0</v>
      </c>
      <c r="I12" s="251">
        <f t="shared" si="1"/>
        <v>1979748.4599999993</v>
      </c>
    </row>
    <row r="13" spans="2:9" ht="12.75">
      <c r="B13" s="334" t="s">
        <v>533</v>
      </c>
      <c r="C13" s="54" t="s">
        <v>80</v>
      </c>
      <c r="D13" s="252">
        <v>0</v>
      </c>
      <c r="E13" s="252">
        <v>0</v>
      </c>
      <c r="F13" s="251">
        <f t="shared" si="0"/>
        <v>0</v>
      </c>
      <c r="G13" s="252">
        <v>304.94</v>
      </c>
      <c r="H13" s="252">
        <v>0</v>
      </c>
      <c r="I13" s="251">
        <f t="shared" si="1"/>
        <v>304.94</v>
      </c>
    </row>
    <row r="14" spans="2:9" ht="12.75">
      <c r="B14" s="334"/>
      <c r="C14" s="54" t="s">
        <v>230</v>
      </c>
      <c r="D14" s="252">
        <v>0</v>
      </c>
      <c r="E14" s="252">
        <v>0</v>
      </c>
      <c r="F14" s="251">
        <f t="shared" si="0"/>
        <v>0</v>
      </c>
      <c r="G14" s="252">
        <v>0</v>
      </c>
      <c r="H14" s="252">
        <v>0</v>
      </c>
      <c r="I14" s="251">
        <f t="shared" si="1"/>
        <v>0</v>
      </c>
    </row>
    <row r="15" spans="2:9" ht="26.25">
      <c r="B15" s="334"/>
      <c r="C15" s="134" t="s">
        <v>231</v>
      </c>
      <c r="D15" s="252">
        <v>251228.18</v>
      </c>
      <c r="E15" s="252">
        <v>0</v>
      </c>
      <c r="F15" s="251">
        <f t="shared" si="0"/>
        <v>251228.18</v>
      </c>
      <c r="G15" s="252">
        <v>0</v>
      </c>
      <c r="H15" s="252">
        <v>0</v>
      </c>
      <c r="I15" s="251">
        <f t="shared" si="1"/>
        <v>0</v>
      </c>
    </row>
    <row r="16" spans="2:9" ht="12.75">
      <c r="B16" s="334" t="s">
        <v>533</v>
      </c>
      <c r="C16" s="54" t="s">
        <v>174</v>
      </c>
      <c r="D16" s="252">
        <v>27930028.404957462</v>
      </c>
      <c r="E16" s="252">
        <v>0</v>
      </c>
      <c r="F16" s="251">
        <f t="shared" si="0"/>
        <v>27930028.404957462</v>
      </c>
      <c r="G16" s="252">
        <v>22946612.41363636</v>
      </c>
      <c r="H16" s="252">
        <v>0</v>
      </c>
      <c r="I16" s="251">
        <f t="shared" si="1"/>
        <v>22946612.41363636</v>
      </c>
    </row>
    <row r="17" spans="2:9" ht="12.75">
      <c r="B17" s="334" t="s">
        <v>533</v>
      </c>
      <c r="C17" s="54" t="s">
        <v>81</v>
      </c>
      <c r="D17" s="252">
        <v>103732.62</v>
      </c>
      <c r="E17" s="252">
        <v>0</v>
      </c>
      <c r="F17" s="251">
        <f t="shared" si="0"/>
        <v>103732.62</v>
      </c>
      <c r="G17" s="252">
        <v>111333.99</v>
      </c>
      <c r="H17" s="252">
        <v>0</v>
      </c>
      <c r="I17" s="251">
        <f t="shared" si="1"/>
        <v>111333.99</v>
      </c>
    </row>
    <row r="18" spans="2:9" ht="12.75">
      <c r="B18" s="334" t="s">
        <v>533</v>
      </c>
      <c r="C18" s="54" t="s">
        <v>82</v>
      </c>
      <c r="D18" s="252">
        <v>28035.1</v>
      </c>
      <c r="E18" s="252">
        <v>0</v>
      </c>
      <c r="F18" s="251">
        <f t="shared" si="0"/>
        <v>28035.1</v>
      </c>
      <c r="G18" s="252">
        <v>25859.77</v>
      </c>
      <c r="H18" s="252">
        <v>0</v>
      </c>
      <c r="I18" s="251">
        <f t="shared" si="1"/>
        <v>25859.77</v>
      </c>
    </row>
    <row r="19" spans="2:9" ht="12.75">
      <c r="B19" s="334"/>
      <c r="C19" s="54" t="s">
        <v>48</v>
      </c>
      <c r="D19" s="252">
        <v>0</v>
      </c>
      <c r="E19" s="252">
        <v>0</v>
      </c>
      <c r="F19" s="251">
        <f t="shared" si="0"/>
        <v>0</v>
      </c>
      <c r="G19" s="252">
        <v>0</v>
      </c>
      <c r="H19" s="252">
        <v>0</v>
      </c>
      <c r="I19" s="251">
        <f t="shared" si="1"/>
        <v>0</v>
      </c>
    </row>
    <row r="20" spans="2:9" ht="12.75">
      <c r="B20" s="334" t="s">
        <v>533</v>
      </c>
      <c r="C20" s="55" t="s">
        <v>49</v>
      </c>
      <c r="D20" s="251">
        <f>'2.2 Revenue contributions '!C15</f>
        <v>0</v>
      </c>
      <c r="E20" s="251">
        <f>'2.2 Revenue contributions '!D15</f>
        <v>0</v>
      </c>
      <c r="F20" s="251">
        <f>'2.2 Revenue contributions '!E15</f>
        <v>0</v>
      </c>
      <c r="G20" s="252">
        <v>0</v>
      </c>
      <c r="H20" s="252">
        <v>0</v>
      </c>
      <c r="I20" s="251">
        <f>SUM(G20:H20)</f>
        <v>0</v>
      </c>
    </row>
    <row r="21" spans="2:9" ht="12.75">
      <c r="B21" s="334"/>
      <c r="C21" s="55" t="s">
        <v>259</v>
      </c>
      <c r="D21" s="251">
        <f>'2.2 Revenue contributions '!C27</f>
        <v>0</v>
      </c>
      <c r="E21" s="251">
        <f>'2.2 Revenue contributions '!D27</f>
        <v>0</v>
      </c>
      <c r="F21" s="251">
        <f>'2.2 Revenue contributions '!D27</f>
        <v>0</v>
      </c>
      <c r="G21" s="252">
        <v>0</v>
      </c>
      <c r="H21" s="252">
        <v>0</v>
      </c>
      <c r="I21" s="251">
        <f>SUM(G21:H21)</f>
        <v>0</v>
      </c>
    </row>
    <row r="22" spans="2:9" ht="12.75">
      <c r="B22" s="334"/>
      <c r="C22" s="54" t="s">
        <v>20</v>
      </c>
      <c r="D22" s="252">
        <v>0</v>
      </c>
      <c r="E22" s="252">
        <v>0</v>
      </c>
      <c r="F22" s="251">
        <f>SUM(D22:E22)</f>
        <v>0</v>
      </c>
      <c r="G22" s="252">
        <v>0</v>
      </c>
      <c r="H22" s="252">
        <v>0</v>
      </c>
      <c r="I22" s="251">
        <f>SUM(G22:H22)</f>
        <v>0</v>
      </c>
    </row>
    <row r="23" spans="2:9" ht="12.75">
      <c r="B23" s="334" t="s">
        <v>533</v>
      </c>
      <c r="C23" s="54" t="s">
        <v>51</v>
      </c>
      <c r="D23" s="252">
        <v>2085133.961410712</v>
      </c>
      <c r="E23" s="252">
        <v>0</v>
      </c>
      <c r="F23" s="251">
        <f>SUM(D23:E23)</f>
        <v>2085133.961410712</v>
      </c>
      <c r="G23" s="252">
        <v>3311629.66777799</v>
      </c>
      <c r="H23" s="252">
        <v>0</v>
      </c>
      <c r="I23" s="251">
        <f>SUM(G23:H23)</f>
        <v>3311629.66777799</v>
      </c>
    </row>
    <row r="24" spans="2:9" ht="12.75">
      <c r="B24" s="58"/>
      <c r="C24" s="56" t="s">
        <v>50</v>
      </c>
      <c r="D24" s="219">
        <f aca="true" t="shared" si="2" ref="D24:I24">SUM(D11:D23)</f>
        <v>149220037.74999994</v>
      </c>
      <c r="E24" s="219">
        <f t="shared" si="2"/>
        <v>0</v>
      </c>
      <c r="F24" s="219">
        <f t="shared" si="2"/>
        <v>149220037.74999994</v>
      </c>
      <c r="G24" s="219">
        <f t="shared" si="2"/>
        <v>155373148.26999953</v>
      </c>
      <c r="H24" s="219">
        <f t="shared" si="2"/>
        <v>0</v>
      </c>
      <c r="I24" s="219">
        <f t="shared" si="2"/>
        <v>155373148.26999953</v>
      </c>
    </row>
    <row r="25" ht="12.75">
      <c r="B25" s="106"/>
    </row>
  </sheetData>
  <sheetProtection/>
  <mergeCells count="4">
    <mergeCell ref="B1:C1"/>
    <mergeCell ref="B5:D5"/>
    <mergeCell ref="D7:F7"/>
    <mergeCell ref="G7:I7"/>
  </mergeCells>
  <printOptions/>
  <pageMargins left="0.7480314960629921" right="0.7480314960629921" top="0.984251968503937" bottom="0.984251968503937" header="0.5118110236220472" footer="0.5118110236220472"/>
  <pageSetup fitToHeight="1" fitToWidth="1" horizontalDpi="600" verticalDpi="600" orientation="portrait" paperSize="9" scale="43"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J27"/>
  <sheetViews>
    <sheetView zoomScale="80" zoomScaleNormal="80" zoomScalePageLayoutView="0" workbookViewId="0" topLeftCell="A1">
      <selection activeCell="A1" sqref="A1"/>
    </sheetView>
  </sheetViews>
  <sheetFormatPr defaultColWidth="9.140625" defaultRowHeight="12.75"/>
  <cols>
    <col min="1" max="1" width="12.00390625" style="40" customWidth="1"/>
    <col min="2" max="2" width="37.57421875" style="40" customWidth="1"/>
    <col min="3" max="3" width="42.8515625" style="40" customWidth="1"/>
    <col min="4" max="5" width="27.28125" style="40" customWidth="1"/>
    <col min="6" max="6" width="5.8515625" style="40" customWidth="1"/>
    <col min="7" max="7" width="6.7109375" style="40" customWidth="1"/>
    <col min="8" max="10" width="19.8515625" style="40" customWidth="1"/>
    <col min="11" max="11" width="18.28125" style="40" customWidth="1"/>
    <col min="12" max="16384" width="9.140625" style="40" customWidth="1"/>
  </cols>
  <sheetData>
    <row r="1" spans="2:10" ht="20.25">
      <c r="B1" s="41" t="s">
        <v>195</v>
      </c>
      <c r="C1" s="39"/>
      <c r="D1" s="39"/>
      <c r="E1" s="39"/>
      <c r="F1" s="39"/>
      <c r="G1" s="39"/>
      <c r="H1" s="39"/>
      <c r="I1" s="39"/>
      <c r="J1" s="39"/>
    </row>
    <row r="2" spans="2:3" ht="15.75" customHeight="1">
      <c r="B2" s="151" t="str">
        <f>Tradingname</f>
        <v>EAST AUSTRALIAN PIPELINE PTY LIMITED</v>
      </c>
      <c r="C2" s="152"/>
    </row>
    <row r="3" spans="2:6" ht="18.75" customHeight="1">
      <c r="B3" s="153" t="s">
        <v>180</v>
      </c>
      <c r="C3" s="154">
        <f>Yearending</f>
        <v>44377</v>
      </c>
      <c r="F3" s="114"/>
    </row>
    <row r="4" ht="21">
      <c r="B4" s="38"/>
    </row>
    <row r="5" ht="15">
      <c r="B5" s="62" t="s">
        <v>186</v>
      </c>
    </row>
    <row r="6" spans="2:10" ht="12.75">
      <c r="B6" s="42"/>
      <c r="C6" s="45"/>
      <c r="D6" s="45"/>
      <c r="E6" s="45"/>
      <c r="F6" s="45"/>
      <c r="G6" s="46"/>
      <c r="H6" s="63"/>
      <c r="I6" s="47"/>
      <c r="J6" s="47"/>
    </row>
    <row r="7" spans="2:5" ht="39" customHeight="1">
      <c r="B7" s="100" t="s">
        <v>19</v>
      </c>
      <c r="C7" s="50" t="s">
        <v>61</v>
      </c>
      <c r="D7" s="50" t="s">
        <v>62</v>
      </c>
      <c r="E7" s="50" t="s">
        <v>25</v>
      </c>
    </row>
    <row r="8" spans="2:5" ht="13.5" customHeight="1">
      <c r="B8" s="48"/>
      <c r="C8" s="52" t="s">
        <v>182</v>
      </c>
      <c r="D8" s="52" t="s">
        <v>182</v>
      </c>
      <c r="E8" s="52" t="s">
        <v>182</v>
      </c>
    </row>
    <row r="9" spans="2:6" ht="13.5" customHeight="1">
      <c r="B9" s="113" t="s">
        <v>433</v>
      </c>
      <c r="C9" s="218">
        <v>0</v>
      </c>
      <c r="D9" s="218">
        <v>0</v>
      </c>
      <c r="E9" s="219">
        <f aca="true" t="shared" si="0" ref="E9:E14">SUM(C9:D9)</f>
        <v>0</v>
      </c>
      <c r="F9" s="47"/>
    </row>
    <row r="10" spans="2:6" ht="13.5" customHeight="1">
      <c r="B10" s="113"/>
      <c r="C10" s="218"/>
      <c r="D10" s="218"/>
      <c r="E10" s="219">
        <f t="shared" si="0"/>
        <v>0</v>
      </c>
      <c r="F10" s="47"/>
    </row>
    <row r="11" spans="2:6" ht="13.5" customHeight="1">
      <c r="B11" s="113"/>
      <c r="C11" s="218"/>
      <c r="D11" s="218"/>
      <c r="E11" s="219">
        <f t="shared" si="0"/>
        <v>0</v>
      </c>
      <c r="F11" s="47"/>
    </row>
    <row r="12" spans="2:6" ht="13.5" customHeight="1">
      <c r="B12" s="113"/>
      <c r="C12" s="218"/>
      <c r="D12" s="218"/>
      <c r="E12" s="219">
        <f t="shared" si="0"/>
        <v>0</v>
      </c>
      <c r="F12" s="47"/>
    </row>
    <row r="13" spans="2:6" ht="13.5" customHeight="1">
      <c r="B13" s="113"/>
      <c r="C13" s="218"/>
      <c r="D13" s="218"/>
      <c r="E13" s="219">
        <f t="shared" si="0"/>
        <v>0</v>
      </c>
      <c r="F13" s="47"/>
    </row>
    <row r="14" spans="2:6" ht="13.5" customHeight="1">
      <c r="B14" s="113"/>
      <c r="C14" s="218"/>
      <c r="D14" s="218"/>
      <c r="E14" s="219">
        <f t="shared" si="0"/>
        <v>0</v>
      </c>
      <c r="F14" s="47"/>
    </row>
    <row r="15" spans="2:5" ht="12.75">
      <c r="B15" s="159" t="s">
        <v>25</v>
      </c>
      <c r="C15" s="219">
        <f>SUM(C9:C14)</f>
        <v>0</v>
      </c>
      <c r="D15" s="219">
        <f>SUM(D9:D14)</f>
        <v>0</v>
      </c>
      <c r="E15" s="219">
        <f>SUM(E9:E14)</f>
        <v>0</v>
      </c>
    </row>
    <row r="17" ht="15">
      <c r="B17" s="62" t="s">
        <v>187</v>
      </c>
    </row>
    <row r="18" spans="2:6" ht="19.5" customHeight="1">
      <c r="B18" s="42"/>
      <c r="C18" s="45"/>
      <c r="D18" s="45"/>
      <c r="E18" s="45"/>
      <c r="F18" s="45"/>
    </row>
    <row r="19" spans="2:5" ht="24.75" customHeight="1">
      <c r="B19" s="48" t="s">
        <v>19</v>
      </c>
      <c r="C19" s="50" t="s">
        <v>61</v>
      </c>
      <c r="D19" s="50" t="s">
        <v>62</v>
      </c>
      <c r="E19" s="50" t="s">
        <v>25</v>
      </c>
    </row>
    <row r="20" spans="2:5" ht="12.75">
      <c r="B20" s="48"/>
      <c r="C20" s="52" t="s">
        <v>182</v>
      </c>
      <c r="D20" s="52" t="s">
        <v>182</v>
      </c>
      <c r="E20" s="52" t="s">
        <v>182</v>
      </c>
    </row>
    <row r="21" spans="2:5" ht="12.75">
      <c r="B21" s="113"/>
      <c r="C21" s="287"/>
      <c r="D21" s="218"/>
      <c r="E21" s="219">
        <f aca="true" t="shared" si="1" ref="E21:E26">SUM(C21:D21)</f>
        <v>0</v>
      </c>
    </row>
    <row r="22" spans="2:5" ht="12.75">
      <c r="B22" s="113"/>
      <c r="C22" s="218"/>
      <c r="D22" s="218"/>
      <c r="E22" s="219">
        <f t="shared" si="1"/>
        <v>0</v>
      </c>
    </row>
    <row r="23" spans="2:5" ht="12.75">
      <c r="B23" s="113"/>
      <c r="C23" s="218"/>
      <c r="D23" s="218"/>
      <c r="E23" s="219">
        <f t="shared" si="1"/>
        <v>0</v>
      </c>
    </row>
    <row r="24" spans="2:5" ht="12.75">
      <c r="B24" s="113"/>
      <c r="C24" s="218"/>
      <c r="D24" s="218"/>
      <c r="E24" s="219">
        <f t="shared" si="1"/>
        <v>0</v>
      </c>
    </row>
    <row r="25" spans="2:5" ht="12.75">
      <c r="B25" s="113"/>
      <c r="C25" s="218"/>
      <c r="D25" s="218"/>
      <c r="E25" s="219">
        <f t="shared" si="1"/>
        <v>0</v>
      </c>
    </row>
    <row r="26" spans="2:5" ht="12.75">
      <c r="B26" s="113"/>
      <c r="C26" s="218"/>
      <c r="D26" s="218"/>
      <c r="E26" s="219">
        <f t="shared" si="1"/>
        <v>0</v>
      </c>
    </row>
    <row r="27" spans="2:5" ht="12.75">
      <c r="B27" s="159" t="s">
        <v>25</v>
      </c>
      <c r="C27" s="219">
        <f>SUM(C21:C26)</f>
        <v>0</v>
      </c>
      <c r="D27" s="219">
        <f>SUM(D21:D26)</f>
        <v>0</v>
      </c>
      <c r="E27" s="219">
        <f>SUM(E21:E26)</f>
        <v>0</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57" r:id="rId2"/>
  <colBreaks count="1" manualBreakCount="1">
    <brk id="7" max="22" man="1"/>
  </colBreaks>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B1:H36"/>
  <sheetViews>
    <sheetView zoomScale="80" zoomScaleNormal="80" zoomScalePageLayoutView="0" workbookViewId="0" topLeftCell="A1">
      <selection activeCell="A1" sqref="A1"/>
    </sheetView>
  </sheetViews>
  <sheetFormatPr defaultColWidth="9.140625" defaultRowHeight="12.75"/>
  <cols>
    <col min="1" max="1" width="12.421875" style="82" customWidth="1"/>
    <col min="2" max="2" width="18.57421875" style="82" customWidth="1"/>
    <col min="3" max="3" width="42.28125" style="82" customWidth="1"/>
    <col min="4" max="4" width="26.8515625" style="82" customWidth="1"/>
    <col min="5" max="5" width="22.57421875" style="82" customWidth="1"/>
    <col min="6" max="6" width="20.57421875" style="82" customWidth="1"/>
    <col min="7" max="8" width="22.57421875" style="82" customWidth="1"/>
    <col min="9" max="9" width="9.421875" style="82" customWidth="1"/>
    <col min="10" max="10" width="25.140625" style="82" customWidth="1"/>
    <col min="11" max="16384" width="9.140625" style="82" customWidth="1"/>
  </cols>
  <sheetData>
    <row r="1" spans="2:8" ht="21">
      <c r="B1" s="397" t="s">
        <v>190</v>
      </c>
      <c r="C1" s="397"/>
      <c r="D1" s="39"/>
      <c r="E1" s="39"/>
      <c r="F1" s="39"/>
      <c r="G1" s="39"/>
      <c r="H1" s="39"/>
    </row>
    <row r="2" spans="2:8" ht="17.25" customHeight="1">
      <c r="B2" s="151" t="str">
        <f>Tradingname</f>
        <v>EAST AUSTRALIAN PIPELINE PTY LIMITED</v>
      </c>
      <c r="C2" s="152"/>
      <c r="D2" s="83"/>
      <c r="E2" s="83"/>
      <c r="G2" s="83"/>
      <c r="H2" s="83"/>
    </row>
    <row r="3" spans="2:3" ht="17.25" customHeight="1">
      <c r="B3" s="153" t="s">
        <v>180</v>
      </c>
      <c r="C3" s="154">
        <f>Yearending</f>
        <v>44377</v>
      </c>
    </row>
    <row r="4" ht="14.25" customHeight="1">
      <c r="B4" s="38"/>
    </row>
    <row r="5" spans="2:8" ht="15">
      <c r="B5" s="86" t="s">
        <v>191</v>
      </c>
      <c r="C5" s="84"/>
      <c r="D5" s="84"/>
      <c r="E5" s="84"/>
      <c r="F5" s="85"/>
      <c r="G5" s="84"/>
      <c r="H5" s="84"/>
    </row>
    <row r="6" spans="2:8" ht="15">
      <c r="B6" s="86"/>
      <c r="C6" s="84"/>
      <c r="D6" s="84"/>
      <c r="E6" s="84"/>
      <c r="F6" s="85"/>
      <c r="G6" s="84"/>
      <c r="H6" s="84"/>
    </row>
    <row r="7" spans="2:8" ht="40.5" customHeight="1">
      <c r="B7" s="87" t="s">
        <v>219</v>
      </c>
      <c r="C7" s="87" t="s">
        <v>188</v>
      </c>
      <c r="D7" s="161" t="s">
        <v>213</v>
      </c>
      <c r="E7" s="161" t="s">
        <v>215</v>
      </c>
      <c r="F7" s="161" t="s">
        <v>73</v>
      </c>
      <c r="G7" s="161" t="s">
        <v>90</v>
      </c>
      <c r="H7" s="161" t="s">
        <v>91</v>
      </c>
    </row>
    <row r="8" spans="2:8" ht="12.75">
      <c r="B8" s="89"/>
      <c r="C8" s="87" t="s">
        <v>189</v>
      </c>
      <c r="D8" s="162" t="s">
        <v>182</v>
      </c>
      <c r="E8" s="162" t="s">
        <v>182</v>
      </c>
      <c r="F8" s="162"/>
      <c r="G8" s="162" t="s">
        <v>182</v>
      </c>
      <c r="H8" s="162" t="s">
        <v>182</v>
      </c>
    </row>
    <row r="9" spans="2:8" ht="12.75">
      <c r="B9" s="163"/>
      <c r="C9" s="163"/>
      <c r="D9" s="258"/>
      <c r="E9" s="258"/>
      <c r="F9" s="160"/>
      <c r="G9" s="251">
        <f>D9*F9</f>
        <v>0</v>
      </c>
      <c r="H9" s="251">
        <f>E9*F9</f>
        <v>0</v>
      </c>
    </row>
    <row r="10" spans="2:8" ht="12.75">
      <c r="B10" s="163"/>
      <c r="C10" s="163"/>
      <c r="D10" s="258"/>
      <c r="E10" s="258"/>
      <c r="F10" s="160"/>
      <c r="G10" s="251">
        <f>D10*F10</f>
        <v>0</v>
      </c>
      <c r="H10" s="251">
        <f aca="true" t="shared" si="0" ref="H10:H35">E10*F10</f>
        <v>0</v>
      </c>
    </row>
    <row r="11" spans="2:8" ht="12.75">
      <c r="B11" s="163"/>
      <c r="C11" s="163"/>
      <c r="D11" s="258"/>
      <c r="E11" s="258"/>
      <c r="F11" s="160"/>
      <c r="G11" s="251">
        <f aca="true" t="shared" si="1" ref="G11:G35">D11*F11</f>
        <v>0</v>
      </c>
      <c r="H11" s="251">
        <f t="shared" si="0"/>
        <v>0</v>
      </c>
    </row>
    <row r="12" spans="2:8" ht="12.75">
      <c r="B12" s="163"/>
      <c r="C12" s="163"/>
      <c r="D12" s="258"/>
      <c r="E12" s="258"/>
      <c r="F12" s="160"/>
      <c r="G12" s="251">
        <f t="shared" si="1"/>
        <v>0</v>
      </c>
      <c r="H12" s="251">
        <f t="shared" si="0"/>
        <v>0</v>
      </c>
    </row>
    <row r="13" spans="2:8" ht="12.75">
      <c r="B13" s="163"/>
      <c r="C13" s="163"/>
      <c r="D13" s="258"/>
      <c r="E13" s="258"/>
      <c r="F13" s="160"/>
      <c r="G13" s="251">
        <f t="shared" si="1"/>
        <v>0</v>
      </c>
      <c r="H13" s="251">
        <f t="shared" si="0"/>
        <v>0</v>
      </c>
    </row>
    <row r="14" spans="2:8" ht="12.75">
      <c r="B14" s="163"/>
      <c r="C14" s="163"/>
      <c r="D14" s="258"/>
      <c r="E14" s="258"/>
      <c r="F14" s="160"/>
      <c r="G14" s="251">
        <f t="shared" si="1"/>
        <v>0</v>
      </c>
      <c r="H14" s="251">
        <f t="shared" si="0"/>
        <v>0</v>
      </c>
    </row>
    <row r="15" spans="2:8" ht="12.75">
      <c r="B15" s="163"/>
      <c r="C15" s="163"/>
      <c r="D15" s="258"/>
      <c r="E15" s="258"/>
      <c r="F15" s="160"/>
      <c r="G15" s="251">
        <f t="shared" si="1"/>
        <v>0</v>
      </c>
      <c r="H15" s="251">
        <f t="shared" si="0"/>
        <v>0</v>
      </c>
    </row>
    <row r="16" spans="2:8" ht="12.75">
      <c r="B16" s="163"/>
      <c r="C16" s="163"/>
      <c r="D16" s="258"/>
      <c r="E16" s="258"/>
      <c r="F16" s="160"/>
      <c r="G16" s="251">
        <f t="shared" si="1"/>
        <v>0</v>
      </c>
      <c r="H16" s="251">
        <f t="shared" si="0"/>
        <v>0</v>
      </c>
    </row>
    <row r="17" spans="2:8" ht="12.75">
      <c r="B17" s="163"/>
      <c r="C17" s="163"/>
      <c r="D17" s="258"/>
      <c r="E17" s="258"/>
      <c r="F17" s="160"/>
      <c r="G17" s="251">
        <f t="shared" si="1"/>
        <v>0</v>
      </c>
      <c r="H17" s="251">
        <f t="shared" si="0"/>
        <v>0</v>
      </c>
    </row>
    <row r="18" spans="2:8" ht="12.75">
      <c r="B18" s="163"/>
      <c r="C18" s="163"/>
      <c r="D18" s="258"/>
      <c r="E18" s="258"/>
      <c r="F18" s="160"/>
      <c r="G18" s="251">
        <f t="shared" si="1"/>
        <v>0</v>
      </c>
      <c r="H18" s="251">
        <f t="shared" si="0"/>
        <v>0</v>
      </c>
    </row>
    <row r="19" spans="2:8" ht="12.75">
      <c r="B19" s="163"/>
      <c r="C19" s="163"/>
      <c r="D19" s="258"/>
      <c r="E19" s="258"/>
      <c r="F19" s="160"/>
      <c r="G19" s="251">
        <f t="shared" si="1"/>
        <v>0</v>
      </c>
      <c r="H19" s="251">
        <f t="shared" si="0"/>
        <v>0</v>
      </c>
    </row>
    <row r="20" spans="2:8" ht="12.75">
      <c r="B20" s="163"/>
      <c r="C20" s="163"/>
      <c r="D20" s="258"/>
      <c r="E20" s="258"/>
      <c r="F20" s="160"/>
      <c r="G20" s="251">
        <f t="shared" si="1"/>
        <v>0</v>
      </c>
      <c r="H20" s="251">
        <f t="shared" si="0"/>
        <v>0</v>
      </c>
    </row>
    <row r="21" spans="2:8" ht="12.75">
      <c r="B21" s="163"/>
      <c r="C21" s="163"/>
      <c r="D21" s="258"/>
      <c r="E21" s="258"/>
      <c r="F21" s="160"/>
      <c r="G21" s="251">
        <f t="shared" si="1"/>
        <v>0</v>
      </c>
      <c r="H21" s="251">
        <f t="shared" si="0"/>
        <v>0</v>
      </c>
    </row>
    <row r="22" spans="2:8" ht="12.75">
      <c r="B22" s="163"/>
      <c r="C22" s="163"/>
      <c r="D22" s="258"/>
      <c r="E22" s="258"/>
      <c r="F22" s="160"/>
      <c r="G22" s="251">
        <f t="shared" si="1"/>
        <v>0</v>
      </c>
      <c r="H22" s="251">
        <f t="shared" si="0"/>
        <v>0</v>
      </c>
    </row>
    <row r="23" spans="2:8" ht="12.75">
      <c r="B23" s="163"/>
      <c r="C23" s="163"/>
      <c r="D23" s="258"/>
      <c r="E23" s="258"/>
      <c r="F23" s="160"/>
      <c r="G23" s="251">
        <f t="shared" si="1"/>
        <v>0</v>
      </c>
      <c r="H23" s="251">
        <f t="shared" si="0"/>
        <v>0</v>
      </c>
    </row>
    <row r="24" spans="2:8" ht="12.75">
      <c r="B24" s="163"/>
      <c r="C24" s="163"/>
      <c r="D24" s="258"/>
      <c r="E24" s="258"/>
      <c r="F24" s="160"/>
      <c r="G24" s="251">
        <f t="shared" si="1"/>
        <v>0</v>
      </c>
      <c r="H24" s="251">
        <f t="shared" si="0"/>
        <v>0</v>
      </c>
    </row>
    <row r="25" spans="2:8" ht="12.75">
      <c r="B25" s="163"/>
      <c r="C25" s="163"/>
      <c r="D25" s="258"/>
      <c r="E25" s="258"/>
      <c r="F25" s="160"/>
      <c r="G25" s="251">
        <f t="shared" si="1"/>
        <v>0</v>
      </c>
      <c r="H25" s="251">
        <f t="shared" si="0"/>
        <v>0</v>
      </c>
    </row>
    <row r="26" spans="2:8" ht="12.75">
      <c r="B26" s="163"/>
      <c r="C26" s="163"/>
      <c r="D26" s="258"/>
      <c r="E26" s="258"/>
      <c r="F26" s="160"/>
      <c r="G26" s="251">
        <f t="shared" si="1"/>
        <v>0</v>
      </c>
      <c r="H26" s="251">
        <f t="shared" si="0"/>
        <v>0</v>
      </c>
    </row>
    <row r="27" spans="2:8" ht="12.75">
      <c r="B27" s="163"/>
      <c r="C27" s="163"/>
      <c r="D27" s="258"/>
      <c r="E27" s="258"/>
      <c r="F27" s="160"/>
      <c r="G27" s="251">
        <f t="shared" si="1"/>
        <v>0</v>
      </c>
      <c r="H27" s="251">
        <f t="shared" si="0"/>
        <v>0</v>
      </c>
    </row>
    <row r="28" spans="2:8" ht="12.75">
      <c r="B28" s="163"/>
      <c r="C28" s="163"/>
      <c r="D28" s="258"/>
      <c r="E28" s="258"/>
      <c r="F28" s="160"/>
      <c r="G28" s="251">
        <f t="shared" si="1"/>
        <v>0</v>
      </c>
      <c r="H28" s="251">
        <f t="shared" si="0"/>
        <v>0</v>
      </c>
    </row>
    <row r="29" spans="2:8" ht="12.75">
      <c r="B29" s="163"/>
      <c r="C29" s="163"/>
      <c r="D29" s="258"/>
      <c r="E29" s="258"/>
      <c r="F29" s="160"/>
      <c r="G29" s="251">
        <f t="shared" si="1"/>
        <v>0</v>
      </c>
      <c r="H29" s="251">
        <f t="shared" si="0"/>
        <v>0</v>
      </c>
    </row>
    <row r="30" spans="2:8" ht="12.75">
      <c r="B30" s="163"/>
      <c r="C30" s="163"/>
      <c r="D30" s="258"/>
      <c r="E30" s="258"/>
      <c r="F30" s="160"/>
      <c r="G30" s="251">
        <f t="shared" si="1"/>
        <v>0</v>
      </c>
      <c r="H30" s="251">
        <f>E30*F30</f>
        <v>0</v>
      </c>
    </row>
    <row r="31" spans="2:8" ht="12.75">
      <c r="B31" s="163"/>
      <c r="C31" s="163"/>
      <c r="D31" s="258"/>
      <c r="E31" s="258"/>
      <c r="F31" s="160"/>
      <c r="G31" s="251">
        <f t="shared" si="1"/>
        <v>0</v>
      </c>
      <c r="H31" s="251">
        <f t="shared" si="0"/>
        <v>0</v>
      </c>
    </row>
    <row r="32" spans="2:8" ht="12.75">
      <c r="B32" s="163"/>
      <c r="C32" s="163"/>
      <c r="D32" s="258"/>
      <c r="E32" s="258"/>
      <c r="F32" s="160"/>
      <c r="G32" s="251">
        <f t="shared" si="1"/>
        <v>0</v>
      </c>
      <c r="H32" s="251">
        <f t="shared" si="0"/>
        <v>0</v>
      </c>
    </row>
    <row r="33" spans="2:8" ht="12.75">
      <c r="B33" s="163"/>
      <c r="C33" s="163"/>
      <c r="D33" s="258"/>
      <c r="E33" s="258"/>
      <c r="F33" s="160"/>
      <c r="G33" s="251">
        <f t="shared" si="1"/>
        <v>0</v>
      </c>
      <c r="H33" s="251">
        <f t="shared" si="0"/>
        <v>0</v>
      </c>
    </row>
    <row r="34" spans="2:8" ht="12.75">
      <c r="B34" s="163"/>
      <c r="C34" s="163"/>
      <c r="D34" s="258"/>
      <c r="E34" s="258"/>
      <c r="F34" s="160"/>
      <c r="G34" s="251">
        <f t="shared" si="1"/>
        <v>0</v>
      </c>
      <c r="H34" s="251">
        <f t="shared" si="0"/>
        <v>0</v>
      </c>
    </row>
    <row r="35" spans="2:8" ht="12.75">
      <c r="B35" s="163"/>
      <c r="C35" s="163"/>
      <c r="D35" s="258"/>
      <c r="E35" s="258"/>
      <c r="F35" s="160"/>
      <c r="G35" s="251">
        <f t="shared" si="1"/>
        <v>0</v>
      </c>
      <c r="H35" s="251">
        <f t="shared" si="0"/>
        <v>0</v>
      </c>
    </row>
    <row r="36" spans="2:8" ht="12.75">
      <c r="B36" s="159"/>
      <c r="C36" s="159" t="s">
        <v>25</v>
      </c>
      <c r="D36" s="251">
        <f>SUM(D9:D35)</f>
        <v>0</v>
      </c>
      <c r="E36" s="251">
        <f>SUM(E9:E35)</f>
        <v>0</v>
      </c>
      <c r="F36" s="159"/>
      <c r="G36" s="251">
        <f>SUM(G9:G35)</f>
        <v>0</v>
      </c>
      <c r="H36" s="251">
        <f>SUM(H9:H35)</f>
        <v>0</v>
      </c>
    </row>
  </sheetData>
  <sheetProtection/>
  <mergeCells count="1">
    <mergeCell ref="B1:C1"/>
  </mergeCells>
  <printOptions/>
  <pageMargins left="0.7480314960629921" right="0.7480314960629921" top="0.984251968503937" bottom="0.984251968503937" header="0.5118110236220472" footer="0.5118110236220472"/>
  <pageSetup fitToHeight="1" fitToWidth="1" horizontalDpi="600" verticalDpi="600" orientation="portrait" paperSize="9" scale="44" r:id="rId2"/>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B1:I36"/>
  <sheetViews>
    <sheetView zoomScale="80" zoomScaleNormal="80" zoomScalePageLayoutView="0" workbookViewId="0" topLeftCell="A1">
      <selection activeCell="A1" sqref="A1"/>
    </sheetView>
  </sheetViews>
  <sheetFormatPr defaultColWidth="9.140625" defaultRowHeight="12.75"/>
  <cols>
    <col min="1" max="1" width="11.28125" style="82" customWidth="1"/>
    <col min="2" max="2" width="21.00390625" style="82" customWidth="1"/>
    <col min="3" max="3" width="30.00390625" style="82" customWidth="1"/>
    <col min="4" max="4" width="26.7109375" style="82" customWidth="1"/>
    <col min="5" max="5" width="23.57421875" style="82" customWidth="1"/>
    <col min="6" max="6" width="22.57421875" style="82" customWidth="1"/>
    <col min="7" max="7" width="20.57421875" style="82" customWidth="1"/>
    <col min="8" max="9" width="22.57421875" style="82" customWidth="1"/>
    <col min="10" max="10" width="9.421875" style="82" customWidth="1"/>
    <col min="11" max="11" width="25.140625" style="82" customWidth="1"/>
    <col min="12" max="16384" width="9.140625" style="82" customWidth="1"/>
  </cols>
  <sheetData>
    <row r="1" spans="2:9" ht="21">
      <c r="B1" s="397" t="s">
        <v>160</v>
      </c>
      <c r="C1" s="397"/>
      <c r="D1" s="39"/>
      <c r="E1" s="39"/>
      <c r="F1" s="39"/>
      <c r="G1" s="39"/>
      <c r="H1" s="39"/>
      <c r="I1" s="39"/>
    </row>
    <row r="2" spans="2:9" ht="16.5" customHeight="1">
      <c r="B2" s="151" t="str">
        <f>Tradingname</f>
        <v>EAST AUSTRALIAN PIPELINE PTY LIMITED</v>
      </c>
      <c r="C2" s="152"/>
      <c r="D2" s="83"/>
      <c r="E2" s="83"/>
      <c r="F2" s="83"/>
      <c r="H2" s="83"/>
      <c r="I2" s="83"/>
    </row>
    <row r="3" spans="2:3" ht="13.5">
      <c r="B3" s="153" t="s">
        <v>180</v>
      </c>
      <c r="C3" s="154">
        <f>Yearending</f>
        <v>44377</v>
      </c>
    </row>
    <row r="4" spans="2:5" ht="21">
      <c r="B4" s="38"/>
      <c r="E4" s="167"/>
    </row>
    <row r="5" spans="2:9" ht="15">
      <c r="B5" s="86" t="s">
        <v>192</v>
      </c>
      <c r="C5" s="84"/>
      <c r="D5" s="84"/>
      <c r="E5" s="84"/>
      <c r="F5" s="84"/>
      <c r="G5" s="85"/>
      <c r="H5" s="84"/>
      <c r="I5" s="84"/>
    </row>
    <row r="6" spans="2:9" ht="15">
      <c r="B6" s="86"/>
      <c r="C6" s="84"/>
      <c r="D6" s="84"/>
      <c r="E6" s="84"/>
      <c r="F6" s="84"/>
      <c r="G6" s="85"/>
      <c r="H6" s="84"/>
      <c r="I6" s="84"/>
    </row>
    <row r="7" spans="2:9" ht="40.5" customHeight="1">
      <c r="B7" s="87" t="s">
        <v>219</v>
      </c>
      <c r="C7" s="87" t="s">
        <v>19</v>
      </c>
      <c r="D7" s="165" t="s">
        <v>74</v>
      </c>
      <c r="E7" s="161" t="s">
        <v>214</v>
      </c>
      <c r="F7" s="161" t="s">
        <v>216</v>
      </c>
      <c r="G7" s="161" t="s">
        <v>73</v>
      </c>
      <c r="H7" s="161" t="s">
        <v>90</v>
      </c>
      <c r="I7" s="161" t="s">
        <v>91</v>
      </c>
    </row>
    <row r="8" spans="2:9" ht="12.75">
      <c r="B8" s="89"/>
      <c r="C8" s="89" t="s">
        <v>193</v>
      </c>
      <c r="D8" s="105"/>
      <c r="E8" s="162" t="s">
        <v>182</v>
      </c>
      <c r="F8" s="162" t="s">
        <v>182</v>
      </c>
      <c r="G8" s="162"/>
      <c r="H8" s="162" t="s">
        <v>182</v>
      </c>
      <c r="I8" s="162" t="s">
        <v>182</v>
      </c>
    </row>
    <row r="9" spans="2:9" ht="12.75">
      <c r="B9" s="276"/>
      <c r="C9" s="57" t="s">
        <v>57</v>
      </c>
      <c r="D9" s="163"/>
      <c r="E9" s="254"/>
      <c r="F9" s="254"/>
      <c r="G9" s="166"/>
      <c r="H9" s="256">
        <f>E9*G9</f>
        <v>0</v>
      </c>
      <c r="I9" s="256">
        <f>F9*G9</f>
        <v>0</v>
      </c>
    </row>
    <row r="10" spans="2:9" ht="26.25">
      <c r="B10" s="276"/>
      <c r="C10" s="57" t="s">
        <v>67</v>
      </c>
      <c r="D10" s="163"/>
      <c r="E10" s="254"/>
      <c r="F10" s="254"/>
      <c r="G10" s="166"/>
      <c r="H10" s="256">
        <f aca="true" t="shared" si="0" ref="H10:H35">E10*G10</f>
        <v>0</v>
      </c>
      <c r="I10" s="256">
        <f aca="true" t="shared" si="1" ref="I10:I35">F10*G10</f>
        <v>0</v>
      </c>
    </row>
    <row r="11" spans="2:9" ht="12.75">
      <c r="B11" s="276"/>
      <c r="C11" s="177" t="s">
        <v>58</v>
      </c>
      <c r="D11" s="163"/>
      <c r="E11" s="254"/>
      <c r="F11" s="254"/>
      <c r="G11" s="166"/>
      <c r="H11" s="256">
        <f t="shared" si="0"/>
        <v>0</v>
      </c>
      <c r="I11" s="256">
        <f t="shared" si="1"/>
        <v>0</v>
      </c>
    </row>
    <row r="12" spans="2:9" ht="12.75">
      <c r="B12" s="334" t="s">
        <v>535</v>
      </c>
      <c r="C12" s="57" t="s">
        <v>59</v>
      </c>
      <c r="D12" s="163"/>
      <c r="E12" s="254">
        <v>-34374021.38796934</v>
      </c>
      <c r="F12" s="254"/>
      <c r="G12" s="166">
        <f>('3. Statement of pipeline assets'!V76+'3. Statement of pipeline assets'!V82)/E12</f>
        <v>0.10427693866885145</v>
      </c>
      <c r="H12" s="256">
        <f t="shared" si="0"/>
        <v>-3584417.7200750667</v>
      </c>
      <c r="I12" s="256">
        <f t="shared" si="1"/>
        <v>0</v>
      </c>
    </row>
    <row r="13" spans="2:9" ht="12.75">
      <c r="B13" s="276"/>
      <c r="C13" s="57" t="s">
        <v>68</v>
      </c>
      <c r="D13" s="163"/>
      <c r="E13" s="254"/>
      <c r="F13" s="254"/>
      <c r="G13" s="166"/>
      <c r="H13" s="256">
        <f t="shared" si="0"/>
        <v>0</v>
      </c>
      <c r="I13" s="256">
        <f t="shared" si="1"/>
        <v>0</v>
      </c>
    </row>
    <row r="14" spans="2:9" ht="12.75">
      <c r="B14" s="334" t="s">
        <v>536</v>
      </c>
      <c r="C14" s="177" t="s">
        <v>130</v>
      </c>
      <c r="D14" s="163"/>
      <c r="E14" s="254">
        <v>-871666.5961039742</v>
      </c>
      <c r="F14" s="254"/>
      <c r="G14" s="166">
        <v>1</v>
      </c>
      <c r="H14" s="256">
        <f t="shared" si="0"/>
        <v>-871666.5961039742</v>
      </c>
      <c r="I14" s="256">
        <f t="shared" si="1"/>
        <v>0</v>
      </c>
    </row>
    <row r="15" spans="2:9" ht="26.25">
      <c r="B15" s="276"/>
      <c r="C15" s="177" t="s">
        <v>60</v>
      </c>
      <c r="D15" s="163"/>
      <c r="E15" s="254"/>
      <c r="F15" s="254"/>
      <c r="G15" s="166"/>
      <c r="H15" s="256">
        <f t="shared" si="0"/>
        <v>0</v>
      </c>
      <c r="I15" s="256">
        <f t="shared" si="1"/>
        <v>0</v>
      </c>
    </row>
    <row r="16" spans="2:9" ht="26.25">
      <c r="B16" s="276"/>
      <c r="C16" s="177" t="s">
        <v>0</v>
      </c>
      <c r="D16" s="163"/>
      <c r="E16" s="254"/>
      <c r="F16" s="254"/>
      <c r="G16" s="166"/>
      <c r="H16" s="256">
        <f t="shared" si="0"/>
        <v>0</v>
      </c>
      <c r="I16" s="256">
        <f t="shared" si="1"/>
        <v>0</v>
      </c>
    </row>
    <row r="17" spans="2:9" ht="12.75">
      <c r="B17" s="276"/>
      <c r="C17" s="57" t="s">
        <v>177</v>
      </c>
      <c r="D17" s="163"/>
      <c r="E17" s="255">
        <f>SUM(E18:E35)</f>
        <v>-99839314.90623303</v>
      </c>
      <c r="F17" s="255">
        <f>SUM(F18:F35)</f>
        <v>0</v>
      </c>
      <c r="G17" s="178"/>
      <c r="H17" s="255">
        <f>SUM(H18:H35)</f>
        <v>-10534199.288469825</v>
      </c>
      <c r="I17" s="255">
        <f>SUM(I18:I35)</f>
        <v>0</v>
      </c>
    </row>
    <row r="18" spans="2:9" ht="12.75">
      <c r="B18" s="334" t="s">
        <v>537</v>
      </c>
      <c r="C18" s="163" t="s">
        <v>381</v>
      </c>
      <c r="D18" s="163"/>
      <c r="E18" s="254">
        <v>-98942992.47023302</v>
      </c>
      <c r="F18" s="254"/>
      <c r="G18" s="166">
        <v>0.1055115341923502</v>
      </c>
      <c r="H18" s="256">
        <f t="shared" si="0"/>
        <v>-10439626.93311644</v>
      </c>
      <c r="I18" s="256">
        <f t="shared" si="1"/>
        <v>0</v>
      </c>
    </row>
    <row r="19" spans="2:9" ht="12.75">
      <c r="B19" s="334" t="s">
        <v>537</v>
      </c>
      <c r="C19" s="163" t="s">
        <v>431</v>
      </c>
      <c r="D19" s="163"/>
      <c r="E19" s="286">
        <v>-896322.4359999995</v>
      </c>
      <c r="F19" s="286"/>
      <c r="G19" s="166">
        <v>0.1055115341923502</v>
      </c>
      <c r="H19" s="256">
        <f>E19*G19</f>
        <v>-94572.35535338457</v>
      </c>
      <c r="I19" s="256">
        <f>F19*G19</f>
        <v>0</v>
      </c>
    </row>
    <row r="20" spans="2:9" ht="12.75">
      <c r="B20" s="163"/>
      <c r="C20" s="163"/>
      <c r="D20" s="163"/>
      <c r="E20" s="254"/>
      <c r="F20" s="254"/>
      <c r="G20" s="166"/>
      <c r="H20" s="256">
        <f t="shared" si="0"/>
        <v>0</v>
      </c>
      <c r="I20" s="256">
        <f t="shared" si="1"/>
        <v>0</v>
      </c>
    </row>
    <row r="21" spans="2:9" ht="12.75">
      <c r="B21" s="163"/>
      <c r="C21" s="163"/>
      <c r="D21" s="163"/>
      <c r="E21" s="254"/>
      <c r="F21" s="254"/>
      <c r="G21" s="166"/>
      <c r="H21" s="256">
        <f t="shared" si="0"/>
        <v>0</v>
      </c>
      <c r="I21" s="256">
        <f t="shared" si="1"/>
        <v>0</v>
      </c>
    </row>
    <row r="22" spans="2:9" ht="12.75">
      <c r="B22" s="163"/>
      <c r="C22" s="163"/>
      <c r="D22" s="163"/>
      <c r="E22" s="254"/>
      <c r="F22" s="254"/>
      <c r="G22" s="166"/>
      <c r="H22" s="256">
        <f t="shared" si="0"/>
        <v>0</v>
      </c>
      <c r="I22" s="256">
        <f t="shared" si="1"/>
        <v>0</v>
      </c>
    </row>
    <row r="23" spans="2:9" ht="12.75">
      <c r="B23" s="163"/>
      <c r="C23" s="163"/>
      <c r="D23" s="163"/>
      <c r="E23" s="254"/>
      <c r="F23" s="254"/>
      <c r="G23" s="166"/>
      <c r="H23" s="256">
        <f t="shared" si="0"/>
        <v>0</v>
      </c>
      <c r="I23" s="256">
        <f t="shared" si="1"/>
        <v>0</v>
      </c>
    </row>
    <row r="24" spans="2:9" ht="12.75">
      <c r="B24" s="163"/>
      <c r="C24" s="163"/>
      <c r="D24" s="163"/>
      <c r="E24" s="254"/>
      <c r="F24" s="254"/>
      <c r="G24" s="166"/>
      <c r="H24" s="256">
        <f t="shared" si="0"/>
        <v>0</v>
      </c>
      <c r="I24" s="256">
        <f t="shared" si="1"/>
        <v>0</v>
      </c>
    </row>
    <row r="25" spans="2:9" ht="12.75">
      <c r="B25" s="163"/>
      <c r="C25" s="163"/>
      <c r="D25" s="163"/>
      <c r="E25" s="254"/>
      <c r="F25" s="254"/>
      <c r="G25" s="166"/>
      <c r="H25" s="256">
        <f t="shared" si="0"/>
        <v>0</v>
      </c>
      <c r="I25" s="256">
        <f t="shared" si="1"/>
        <v>0</v>
      </c>
    </row>
    <row r="26" spans="2:9" ht="12.75">
      <c r="B26" s="163"/>
      <c r="C26" s="163"/>
      <c r="D26" s="163"/>
      <c r="E26" s="254"/>
      <c r="F26" s="254"/>
      <c r="G26" s="166"/>
      <c r="H26" s="256">
        <f t="shared" si="0"/>
        <v>0</v>
      </c>
      <c r="I26" s="256">
        <f t="shared" si="1"/>
        <v>0</v>
      </c>
    </row>
    <row r="27" spans="2:9" ht="12.75">
      <c r="B27" s="163"/>
      <c r="C27" s="163"/>
      <c r="D27" s="163"/>
      <c r="E27" s="254"/>
      <c r="F27" s="254"/>
      <c r="G27" s="166"/>
      <c r="H27" s="256">
        <f t="shared" si="0"/>
        <v>0</v>
      </c>
      <c r="I27" s="256">
        <f t="shared" si="1"/>
        <v>0</v>
      </c>
    </row>
    <row r="28" spans="2:9" ht="12.75">
      <c r="B28" s="163"/>
      <c r="C28" s="163"/>
      <c r="D28" s="163"/>
      <c r="E28" s="254"/>
      <c r="F28" s="254"/>
      <c r="G28" s="166"/>
      <c r="H28" s="256">
        <f t="shared" si="0"/>
        <v>0</v>
      </c>
      <c r="I28" s="256">
        <f t="shared" si="1"/>
        <v>0</v>
      </c>
    </row>
    <row r="29" spans="2:9" ht="12.75">
      <c r="B29" s="163"/>
      <c r="C29" s="163"/>
      <c r="D29" s="163"/>
      <c r="E29" s="254"/>
      <c r="F29" s="254"/>
      <c r="G29" s="166"/>
      <c r="H29" s="256">
        <f t="shared" si="0"/>
        <v>0</v>
      </c>
      <c r="I29" s="256">
        <f t="shared" si="1"/>
        <v>0</v>
      </c>
    </row>
    <row r="30" spans="2:9" ht="12.75">
      <c r="B30" s="163"/>
      <c r="C30" s="163"/>
      <c r="D30" s="163"/>
      <c r="E30" s="254"/>
      <c r="F30" s="254"/>
      <c r="G30" s="166"/>
      <c r="H30" s="256">
        <f t="shared" si="0"/>
        <v>0</v>
      </c>
      <c r="I30" s="256">
        <f t="shared" si="1"/>
        <v>0</v>
      </c>
    </row>
    <row r="31" spans="2:9" ht="12.75">
      <c r="B31" s="163"/>
      <c r="C31" s="163"/>
      <c r="D31" s="163"/>
      <c r="E31" s="254"/>
      <c r="F31" s="254"/>
      <c r="G31" s="166"/>
      <c r="H31" s="256">
        <f t="shared" si="0"/>
        <v>0</v>
      </c>
      <c r="I31" s="256">
        <f t="shared" si="1"/>
        <v>0</v>
      </c>
    </row>
    <row r="32" spans="2:9" ht="12.75">
      <c r="B32" s="163"/>
      <c r="C32" s="163"/>
      <c r="D32" s="163"/>
      <c r="E32" s="254"/>
      <c r="F32" s="254"/>
      <c r="G32" s="166"/>
      <c r="H32" s="256">
        <f t="shared" si="0"/>
        <v>0</v>
      </c>
      <c r="I32" s="256">
        <f t="shared" si="1"/>
        <v>0</v>
      </c>
    </row>
    <row r="33" spans="2:9" ht="12.75">
      <c r="B33" s="163"/>
      <c r="C33" s="163"/>
      <c r="D33" s="163"/>
      <c r="E33" s="254"/>
      <c r="F33" s="254"/>
      <c r="G33" s="166"/>
      <c r="H33" s="256">
        <f t="shared" si="0"/>
        <v>0</v>
      </c>
      <c r="I33" s="256">
        <f t="shared" si="1"/>
        <v>0</v>
      </c>
    </row>
    <row r="34" spans="2:9" ht="12.75">
      <c r="B34" s="163"/>
      <c r="C34" s="163"/>
      <c r="D34" s="163"/>
      <c r="E34" s="254"/>
      <c r="F34" s="254"/>
      <c r="G34" s="166"/>
      <c r="H34" s="256">
        <f t="shared" si="0"/>
        <v>0</v>
      </c>
      <c r="I34" s="256">
        <f t="shared" si="1"/>
        <v>0</v>
      </c>
    </row>
    <row r="35" spans="2:9" ht="12.75">
      <c r="B35" s="163"/>
      <c r="C35" s="163"/>
      <c r="D35" s="163"/>
      <c r="E35" s="254"/>
      <c r="F35" s="254"/>
      <c r="G35" s="166"/>
      <c r="H35" s="256">
        <f t="shared" si="0"/>
        <v>0</v>
      </c>
      <c r="I35" s="256">
        <f t="shared" si="1"/>
        <v>0</v>
      </c>
    </row>
    <row r="36" spans="2:9" ht="12.75">
      <c r="B36" s="98"/>
      <c r="C36" s="398" t="s">
        <v>131</v>
      </c>
      <c r="D36" s="399"/>
      <c r="E36" s="256">
        <f>SUM(E9:E17)</f>
        <v>-135085002.89030635</v>
      </c>
      <c r="F36" s="256">
        <f>SUM(F9:F17)</f>
        <v>0</v>
      </c>
      <c r="G36" s="164"/>
      <c r="H36" s="257">
        <f>SUM(H9:H17)</f>
        <v>-14990283.604648866</v>
      </c>
      <c r="I36" s="256">
        <f>SUM(I9:I17)</f>
        <v>0</v>
      </c>
    </row>
  </sheetData>
  <sheetProtection/>
  <mergeCells count="2">
    <mergeCell ref="B1:C1"/>
    <mergeCell ref="C36:D36"/>
  </mergeCells>
  <printOptions/>
  <pageMargins left="0.7480314960629921" right="0.7480314960629921" top="0.984251968503937" bottom="0.984251968503937" header="0.5118110236220472" footer="0.5118110236220472"/>
  <pageSetup fitToHeight="1"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Alessandro, Silvana</cp:lastModifiedBy>
  <cp:lastPrinted>2021-10-06T01:20:01Z</cp:lastPrinted>
  <dcterms:created xsi:type="dcterms:W3CDTF">2012-02-16T03:44:14Z</dcterms:created>
  <dcterms:modified xsi:type="dcterms:W3CDTF">2021-11-01T03:44:57Z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